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3.xml" ContentType="application/vnd.openxmlformats-officedocument.drawing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5.xml" ContentType="application/vnd.openxmlformats-officedocument.drawing+xml"/>
  <Override PartName="/xl/ctrlProps/ctrlProp6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64.xml" ContentType="application/vnd.ms-excel.controlproperties+xml"/>
  <Override PartName="/xl/drawings/drawing7.xml" ContentType="application/vnd.openxmlformats-officedocument.drawing+xml"/>
  <Override PartName="/xl/ctrlProps/ctrlProp65.xml" ContentType="application/vnd.ms-excel.controlproperties+xml"/>
  <Override PartName="/xl/drawings/drawing8.xml" ContentType="application/vnd.openxmlformats-officedocument.drawing+xml"/>
  <Override PartName="/xl/ctrlProps/ctrlProp66.xml" ContentType="application/vnd.ms-excel.controlproperties+xml"/>
  <Override PartName="/xl/drawings/drawing9.xml" ContentType="application/vnd.openxmlformats-officedocument.drawing+xml"/>
  <Override PartName="/xl/ctrlProps/ctrlProp67.xml" ContentType="application/vnd.ms-excel.controlproperties+xml"/>
  <Override PartName="/xl/drawings/drawing10.xml" ContentType="application/vnd.openxmlformats-officedocument.drawing+xml"/>
  <Override PartName="/xl/ctrlProps/ctrlProp68.xml" ContentType="application/vnd.ms-excel.controlproperties+xml"/>
  <Override PartName="/xl/drawings/drawing11.xml" ContentType="application/vnd.openxmlformats-officedocument.drawing+xml"/>
  <Override PartName="/xl/ctrlProps/ctrlProp69.xml" ContentType="application/vnd.ms-excel.controlproperties+xml"/>
  <Override PartName="/xl/drawings/drawing12.xml" ContentType="application/vnd.openxmlformats-officedocument.drawing+xml"/>
  <Override PartName="/xl/ctrlProps/ctrlProp70.xml" ContentType="application/vnd.ms-excel.controlproperties+xml"/>
  <Override PartName="/xl/drawings/drawing13.xml" ContentType="application/vnd.openxmlformats-officedocument.drawing+xml"/>
  <Override PartName="/xl/ctrlProps/ctrlProp71.xml" ContentType="application/vnd.ms-excel.controlproperties+xml"/>
  <Override PartName="/xl/drawings/drawing14.xml" ContentType="application/vnd.openxmlformats-officedocument.drawing+xml"/>
  <Override PartName="/xl/ctrlProps/ctrlProp72.xml" ContentType="application/vnd.ms-excel.controlproperties+xml"/>
  <Override PartName="/xl/drawings/drawing15.xml" ContentType="application/vnd.openxmlformats-officedocument.drawing+xml"/>
  <Override PartName="/xl/ctrlProps/ctrlProp73.xml" ContentType="application/vnd.ms-excel.controlproperties+xml"/>
  <Override PartName="/xl/drawings/drawing16.xml" ContentType="application/vnd.openxmlformats-officedocument.drawing+xml"/>
  <Override PartName="/xl/ctrlProps/ctrlProp74.xml" ContentType="application/vnd.ms-excel.controlproperties+xml"/>
  <Override PartName="/xl/drawings/drawing17.xml" ContentType="application/vnd.openxmlformats-officedocument.drawing+xml"/>
  <Override PartName="/xl/ctrlProps/ctrlProp75.xml" ContentType="application/vnd.ms-excel.controlproperties+xml"/>
  <Override PartName="/xl/drawings/drawing18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19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20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1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22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3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24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7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28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omments2.xml" ContentType="application/vnd.openxmlformats-officedocument.spreadsheetml.comments+xml"/>
  <Override PartName="/xl/drawings/drawing29.xml" ContentType="application/vnd.openxmlformats-officedocument.drawing+xml"/>
  <Override PartName="/xl/ctrlProps/ctrlProp119.xml" ContentType="application/vnd.ms-excel.controlproperties+xml"/>
  <Override PartName="/xl/drawings/drawing3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20.xml" ContentType="application/vnd.ms-excel.controlproperties+xml"/>
  <Override PartName="/xl/drawings/drawing3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3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33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3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omments3.xml" ContentType="application/vnd.openxmlformats-officedocument.spreadsheetml.comments+xml"/>
  <Override PartName="/xl/drawings/drawing35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36.xml" ContentType="application/vnd.openxmlformats-officedocument.drawing+xml"/>
  <Override PartName="/xl/ctrlProps/ctrlProp153.xml" ContentType="application/vnd.ms-excel.controlproperties+xml"/>
  <Override PartName="/xl/drawings/drawing37.xml" ContentType="application/vnd.openxmlformats-officedocument.drawing+xml"/>
  <Override PartName="/xl/ctrlProps/ctrlProp154.xml" ContentType="application/vnd.ms-excel.controlproperties+xml"/>
  <Override PartName="/xl/drawings/drawing38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39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40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41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drawings/drawing42.xml" ContentType="application/vnd.openxmlformats-officedocument.drawing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43.xml" ContentType="application/vnd.openxmlformats-officedocument.drawing+xml"/>
  <Override PartName="/xl/ctrlProps/ctrlProp186.xml" ContentType="application/vnd.ms-excel.controlproperties+xml"/>
  <Override PartName="/xl/drawings/drawing44.xml" ContentType="application/vnd.openxmlformats-officedocument.drawing+xml"/>
  <Override PartName="/xl/ctrlProps/ctrlProp187.xml" ContentType="application/vnd.ms-excel.controlproperties+xml"/>
  <Override PartName="/xl/drawings/drawing45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46.xml" ContentType="application/vnd.openxmlformats-officedocument.drawing+xml"/>
  <Override PartName="/xl/ctrlProps/ctrlProp190.xml" ContentType="application/vnd.ms-excel.controlproperties+xml"/>
  <Override PartName="/xl/comments4.xml" ContentType="application/vnd.openxmlformats-officedocument.spreadsheetml.comments+xml"/>
  <Override PartName="/xl/drawings/drawing47.xml" ContentType="application/vnd.openxmlformats-officedocument.drawing+xml"/>
  <Override PartName="/xl/ctrlProps/ctrlProp191.xml" ContentType="application/vnd.ms-excel.controlproperties+xml"/>
  <Override PartName="/xl/comments5.xml" ContentType="application/vnd.openxmlformats-officedocument.spreadsheetml.comments+xml"/>
  <Override PartName="/xl/drawings/drawing48.xml" ContentType="application/vnd.openxmlformats-officedocument.drawing+xml"/>
  <Override PartName="/xl/ctrlProps/ctrlProp192.xml" ContentType="application/vnd.ms-excel.controlproperties+xml"/>
  <Override PartName="/xl/drawings/drawing49.xml" ContentType="application/vnd.openxmlformats-officedocument.drawing+xml"/>
  <Override PartName="/xl/ctrlProps/ctrlProp193.xml" ContentType="application/vnd.ms-excel.controlproperties+xml"/>
  <Override PartName="/xl/drawings/drawing50.xml" ContentType="application/vnd.openxmlformats-officedocument.drawing+xml"/>
  <Override PartName="/xl/ctrlProps/ctrlProp194.xml" ContentType="application/vnd.ms-excel.controlproperties+xml"/>
  <Override PartName="/xl/drawings/drawing51.xml" ContentType="application/vnd.openxmlformats-officedocument.drawing+xml"/>
  <Override PartName="/xl/ctrlProps/ctrlProp195.xml" ContentType="application/vnd.ms-excel.controlproperties+xml"/>
  <Override PartName="/xl/drawings/drawing52.xml" ContentType="application/vnd.openxmlformats-officedocument.drawing+xml"/>
  <Override PartName="/xl/ctrlProps/ctrlProp196.xml" ContentType="application/vnd.ms-excel.controlproperties+xml"/>
  <Override PartName="/xl/ctrlProps/ctrlProp197.xml" ContentType="application/vnd.ms-excel.controlproperties+xml"/>
  <Override PartName="/xl/comments6.xml" ContentType="application/vnd.openxmlformats-officedocument.spreadsheetml.comments+xml"/>
  <Override PartName="/xl/drawings/drawing53.xml" ContentType="application/vnd.openxmlformats-officedocument.drawing+xml"/>
  <Override PartName="/xl/ctrlProps/ctrlProp198.xml" ContentType="application/vnd.ms-excel.controlproperties+xml"/>
  <Override PartName="/xl/drawings/drawing54.xml" ContentType="application/vnd.openxmlformats-officedocument.drawing+xml"/>
  <Override PartName="/xl/ctrlProps/ctrlProp199.xml" ContentType="application/vnd.ms-excel.controlproperties+xml"/>
  <Override PartName="/xl/drawings/drawing55.xml" ContentType="application/vnd.openxmlformats-officedocument.drawing+xml"/>
  <Override PartName="/xl/ctrlProps/ctrlProp200.xml" ContentType="application/vnd.ms-excel.controlproperties+xml"/>
  <Override PartName="/xl/drawings/drawing56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drawings/drawing57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58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9.xml" ContentType="application/vnd.openxmlformats-officedocument.drawing+xml"/>
  <Override PartName="/xl/ctrlProps/ctrlProp215.xml" ContentType="application/vnd.ms-excel.controlproperties+xml"/>
  <Override PartName="/xl/comments7.xml" ContentType="application/vnd.openxmlformats-officedocument.spreadsheetml.comments+xml"/>
  <Override PartName="/xl/drawings/drawing60.xml" ContentType="application/vnd.openxmlformats-officedocument.drawing+xml"/>
  <Override PartName="/xl/ctrlProps/ctrlProp216.xml" ContentType="application/vnd.ms-excel.controlproperties+xml"/>
  <Override PartName="/xl/drawings/drawing61.xml" ContentType="application/vnd.openxmlformats-officedocument.drawing+xml"/>
  <Override PartName="/xl/ctrlProps/ctrlProp217.xml" ContentType="application/vnd.ms-excel.controlproperties+xml"/>
  <Override PartName="/xl/comments8.xml" ContentType="application/vnd.openxmlformats-officedocument.spreadsheetml.comments+xml"/>
  <Override PartName="/xl/drawings/drawing6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cm_report\"/>
    </mc:Choice>
  </mc:AlternateContent>
  <xr:revisionPtr revIDLastSave="0" documentId="13_ncr:1_{DFCFB424-3BE6-4589-A1D4-58A91BD02271}" xr6:coauthVersionLast="47" xr6:coauthVersionMax="47" xr10:uidLastSave="{00000000-0000-0000-0000-000000000000}"/>
  <bookViews>
    <workbookView xWindow="28680" yWindow="-120" windowWidth="29040" windowHeight="15720" tabRatio="915" firstSheet="21" activeTab="3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ChartAccountType" sheetId="810" r:id="rId11"/>
    <sheet name="ChartAccountGroup" sheetId="811" r:id="rId12"/>
    <sheet name="ChartAccount" sheetId="812" r:id="rId13"/>
    <sheet name="ChartAccountDefault" sheetId="813" r:id="rId14"/>
    <sheet name="ModuleGroup" sheetId="814" r:id="rId15"/>
    <sheet name="ModuleType" sheetId="806" r:id="rId16"/>
    <sheet name="Lang" sheetId="771" r:id="rId17"/>
    <sheet name="SaleInvoiceData" sheetId="509" r:id="rId18"/>
    <sheet name="SalesByItemData" sheetId="233" r:id="rId19"/>
    <sheet name="1_group_totals" sheetId="807" r:id="rId20"/>
    <sheet name="1_group_total_details" sheetId="808" r:id="rId21"/>
    <sheet name="inventories" sheetId="721" r:id="rId22"/>
    <sheet name="1_inventory_totals" sheetId="722" r:id="rId23"/>
    <sheet name="1_inventory_total_details" sheetId="776" r:id="rId24"/>
    <sheet name="2_inventory_totals" sheetId="835" r:id="rId25"/>
    <sheet name="2_inventory_total_details" sheetId="832" r:id="rId26"/>
    <sheet name="ReportInventoryActivitySummary" sheetId="229" r:id="rId27"/>
    <sheet name="InventoryAdj" sheetId="824" r:id="rId28"/>
    <sheet name="Cgroup" sheetId="800" r:id="rId29"/>
    <sheet name="PrintInvoice" sheetId="823" r:id="rId30"/>
    <sheet name="AddPurchaseBill" sheetId="825" r:id="rId31"/>
    <sheet name="AddInvoice" sheetId="805" r:id="rId32"/>
    <sheet name="AddQuotation" sheetId="788" r:id="rId33"/>
    <sheet name="QuoteData" sheetId="789" r:id="rId34"/>
    <sheet name="QuoteDetailData" sheetId="790" r:id="rId35"/>
    <sheet name="QuoteServiceData" sheetId="791" r:id="rId36"/>
    <sheet name="ShipTo" sheetId="794" r:id="rId37"/>
    <sheet name="OtherExpense" sheetId="406" r:id="rId38"/>
    <sheet name="CustomerList" sheetId="28" r:id="rId39"/>
    <sheet name="OtherIncome" sheetId="802" r:id="rId40"/>
    <sheet name="AddReceivePayment" sheetId="404" r:id="rId41"/>
    <sheet name="ReportFinancialDetail" sheetId="116" r:id="rId42"/>
    <sheet name="Seller" sheetId="292" r:id="rId43"/>
    <sheet name="VendorContact" sheetId="828" r:id="rId44"/>
    <sheet name="VendorList" sheetId="408" r:id="rId45"/>
    <sheet name="CountStock" sheetId="155" r:id="rId46"/>
    <sheet name="Setting" sheetId="4" r:id="rId47"/>
    <sheet name="LocationGroup" sheetId="784" r:id="rId48"/>
    <sheet name="Location" sheetId="785" r:id="rId49"/>
    <sheet name="Currency" sheetId="786" r:id="rId50"/>
    <sheet name="UoM" sheetId="782" r:id="rId51"/>
    <sheet name="UomConversion" sheetId="783" r:id="rId52"/>
    <sheet name="Branch" sheetId="781" r:id="rId53"/>
    <sheet name="BankInfo" sheetId="787" r:id="rId54"/>
    <sheet name="GroupMember" sheetId="589" r:id="rId55"/>
    <sheet name="MemberList" sheetId="103" r:id="rId56"/>
    <sheet name="(1 )" sheetId="24" state="hidden" r:id="rId57"/>
    <sheet name="( 3)" sheetId="26" state="hidden" r:id="rId58"/>
    <sheet name="NBC_Exchange_Rate" sheetId="545" r:id="rId59"/>
    <sheet name="ProductList" sheetId="124" r:id="rId60"/>
    <sheet name="ProductCostHistory" sheetId="826" r:id="rId61"/>
    <sheet name="ProductPriceHistory" sheetId="827" r:id="rId62"/>
    <sheet name="ProductPrice" sheetId="834" r:id="rId63"/>
  </sheets>
  <functionGroups builtInGroupCount="19">
    <functionGroup name="Barcode"/>
  </functionGroups>
  <externalReferences>
    <externalReference r:id="rId64"/>
  </externalReferences>
  <definedNames>
    <definedName name="_xlnm._FilterDatabase" localSheetId="20" hidden="1">'1_group_total_details'!$C$7:$J$380</definedName>
    <definedName name="_xlnm._FilterDatabase" localSheetId="23" hidden="1">'1_inventory_total_details'!$C$7:$K$7</definedName>
    <definedName name="_xlnm._FilterDatabase" localSheetId="25" hidden="1">'2_inventory_total_details'!$C$7:$K$7</definedName>
    <definedName name="_xlnm._FilterDatabase" localSheetId="13" hidden="1">ChartAccountDefault!$C$7:$L$7</definedName>
    <definedName name="_xlnm._FilterDatabase" localSheetId="38" hidden="1">CustomerList!$C$4:$Q$132</definedName>
    <definedName name="_xlnm._FilterDatabase" localSheetId="21" hidden="1">inventories!$C$7:$AD$1302</definedName>
    <definedName name="_xlnm._FilterDatabase" localSheetId="16" hidden="1">Lang!$C$6:$I$6</definedName>
    <definedName name="_xlnm._FilterDatabase" localSheetId="58" hidden="1">NBC_Exchange_Rate!$B$1:$B$7</definedName>
    <definedName name="_xlnm._FilterDatabase" localSheetId="34" hidden="1">QuoteDetailData!$C$7:$Z$10</definedName>
    <definedName name="_xlnm._FilterDatabase" localSheetId="41" hidden="1">ReportFinancialDetail!#REF!</definedName>
    <definedName name="_xlnm._FilterDatabase" localSheetId="17" hidden="1">SaleInvoiceData!$B$5:$AG$892</definedName>
    <definedName name="_xlnm._FilterDatabase" localSheetId="18" hidden="1">SalesByItemData!$A$2:$X$1504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adj_branch">InventoryAdj!$C$13</definedName>
    <definedName name="adj_chart_account_id">InventoryAdj!$F$19</definedName>
    <definedName name="adj_check_ref_invoice_stock">InventoryAdj!#REF!</definedName>
    <definedName name="adj_code">InventoryAdj!$E$9</definedName>
    <definedName name="adj_column_input_stock">InventoryAdj!#REF!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Adress_KH">#REF!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45">CountStock!$K$19</definedName>
    <definedName name="c_inv_discount" localSheetId="45">CountStock!$K$18</definedName>
    <definedName name="c_inv_discount_type" localSheetId="45">CountStock!$R$17</definedName>
    <definedName name="c_invoice_date" localSheetId="40">AddReceivePayment!$Q$10</definedName>
    <definedName name="c_invoice_price_type" localSheetId="45">CountStock!$Q$3</definedName>
    <definedName name="c_monthly_exchange_rate_balance_summary_detail" localSheetId="41">ReportFinancialDetail!$L$3</definedName>
    <definedName name="c_other_expense_no">OtherExpense!$Q$3</definedName>
    <definedName name="c_other_expense_status">OtherExpense!$W$3</definedName>
    <definedName name="c_rp_amount_en_paid" localSheetId="37">OtherExpense!$Q$13</definedName>
    <definedName name="c_rp_amount_en_paid">AddReceivePayment!$P$13</definedName>
    <definedName name="c_rp_amount_kh_paid" localSheetId="37">OtherExpense!$Q$11</definedName>
    <definedName name="c_rp_amount_kh_paid">AddReceivePayment!$P$11</definedName>
    <definedName name="c_rp_current_date" localSheetId="37">OtherExpense!$V$6</definedName>
    <definedName name="c_rp_current_date">AddReceivePayment!$U$7</definedName>
    <definedName name="c_rp_customer_code">AddReceivePayment!$P$9</definedName>
    <definedName name="c_rp_customer_id">AddReceivePayment!$Q$9</definedName>
    <definedName name="c_rp_description" localSheetId="37">OtherExpense!$O$22</definedName>
    <definedName name="c_rp_description">AddReceivePayment!$S$18</definedName>
    <definedName name="c_rp_discount">AddReceivePayment!$P$16</definedName>
    <definedName name="c_rp_exchange_rate" localSheetId="37">OtherExpense!$W$12</definedName>
    <definedName name="c_rp_exchange_rate">AddReceivePayment!$V$12</definedName>
    <definedName name="c_rp_invoice_no" localSheetId="37">OtherExpense!$Q$6</definedName>
    <definedName name="c_rp_invoice_no">AddReceivePayment!$P$7</definedName>
    <definedName name="c_rp_module_types_option" localSheetId="37">OtherExpense!$Q$18</definedName>
    <definedName name="c_rp_module_types_option">AddReceivePayment!$U$15</definedName>
    <definedName name="c_rp_receipt_no" localSheetId="37">OtherExpense!$Q$3</definedName>
    <definedName name="c_rp_receipt_no">AddReceivePayment!$P$4</definedName>
    <definedName name="c_rp_status" localSheetId="37">OtherExpense!$W$3</definedName>
    <definedName name="c_rp_status">AddReceivePayment!$V$4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entList">#REF!</definedName>
    <definedName name="Clint_ID" localSheetId="29">PrintInvoice!$J$16</definedName>
    <definedName name="col_header">Cgroup!$C$7:$D$7</definedName>
    <definedName name="column_qty_stock" localSheetId="40">AddReceivePayment!$G$17:$G$21</definedName>
    <definedName name="column_qty_stock" localSheetId="37">OtherExpense!$F$17:$F$21</definedName>
    <definedName name="ComanyName_ENG">#REF!</definedName>
    <definedName name="company_list">Setting!$C$9:$H$9</definedName>
    <definedName name="CompanyName">#REF!</definedName>
    <definedName name="currency_list">Currency!$C$7:$F$30</definedName>
    <definedName name="currency_option">Currency!$F$7:$F$19</definedName>
    <definedName name="customer_code_option" localSheetId="43">VendorContact!$D$8:$D$18</definedName>
    <definedName name="customer_code_option" localSheetId="44">VendorList!#REF!</definedName>
    <definedName name="customer_code_option">CustomerList!$D$5:$D$120</definedName>
    <definedName name="customer_code_th" localSheetId="43">VendorContact!$D$7</definedName>
    <definedName name="customer_code_th" localSheetId="44">VendorList!$E$7</definedName>
    <definedName name="customer_code_th">CustomerList!$D$3</definedName>
    <definedName name="Customer_Detail" localSheetId="57">'( 3)'!$D$18:$H$21,'( 3)'!$D$22,'( 3)'!$F$22,'( 3)'!$D$23,'( 3)'!$F$23</definedName>
    <definedName name="customer_list">CustomerList!$C$5:$Q$300</definedName>
    <definedName name="customer_name_kh_th" localSheetId="43">VendorContact!$E$7</definedName>
    <definedName name="customer_name_kh_th" localSheetId="44">VendorList!$F$7</definedName>
    <definedName name="customer_name_kh_th">CustomerList!$G$3</definedName>
    <definedName name="customer_name_option" localSheetId="43">VendorContact!$L$8:$L$18</definedName>
    <definedName name="customer_name_option" localSheetId="44">VendorList!#REF!</definedName>
    <definedName name="customer_name_option">CustomerList!$Q$5:$Q$200</definedName>
    <definedName name="Customer_TIN_Area" localSheetId="57">'( 3)'!$P$20</definedName>
    <definedName name="database_path">FilesSetting!$G$8</definedName>
    <definedName name="Date" localSheetId="57">'( 3)'!$N$14</definedName>
    <definedName name="Description_Area" localSheetId="57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57">'( 3)'!$N$15</definedName>
    <definedName name="Exchange_Rate" localSheetId="29">PrintInvoice!#REF!</definedName>
    <definedName name="exchange_rate_date_wbsd">ReportFinancialDetail!$I$44</definedName>
    <definedName name="exchange_rate_list">NBC_Exchange_Rate!$B$2:$E$7</definedName>
    <definedName name="exchange_rate_wbsd">ReportFinancialDetail!$H$44</definedName>
    <definedName name="ExchangeRateToday">NBC_Exchange_Rate!$I$3</definedName>
    <definedName name="exp_alert_to_check_amount">OtherExpense!$O$10</definedName>
    <definedName name="exp_code">OtherExpense!$J$8</definedName>
    <definedName name="exp_member_id" localSheetId="37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pense_list">#REF!</definedName>
    <definedName name="expense_num_list">#REF!</definedName>
    <definedName name="ExternalData_2" localSheetId="58" hidden="1">NBC_Exchange_Rate!$C$1:$E$7</definedName>
    <definedName name="ExternalData_3" localSheetId="58" hidden="1">NBC_Exchange_Rate!#REF!</definedName>
    <definedName name="group_member_option">GroupMember!$H$6:$H$21</definedName>
    <definedName name="group_member_option_select" localSheetId="40">AddReceivePayment!$W$36</definedName>
    <definedName name="income_option" localSheetId="41">ReportFinancialDetail!$B$9:$B$1048576</definedName>
    <definedName name="inv_adj_data_list">#REF!</definedName>
    <definedName name="inv_adj_list_test">#REF!</definedName>
    <definedName name="inv_adj_ref_list">#REF!</definedName>
    <definedName name="inv_adj_stock_type_option">Setting!$P$24:$P$30</definedName>
    <definedName name="inventory_activity_list">ReportInventoryActivitySummary!$B$7:$I$26</definedName>
    <definedName name="inventory_activity_summary_list">ReportInventoryActivitySummary!$B$7:$I$30</definedName>
    <definedName name="invoice_branch" localSheetId="31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de_option">SaleInvoiceData!$C$6:$C$5000</definedName>
    <definedName name="invoice_column_product" localSheetId="31">AddInvoice!$M$8:$M$87</definedName>
    <definedName name="invoice_column_qty_free" localSheetId="31">AddInvoice!$P$8:$P$87</definedName>
    <definedName name="invoice_copy_print_letter_head" localSheetId="31">AddInvoice!$AU$112:$AU$217</definedName>
    <definedName name="invoice_copy_print_no_letter_head" localSheetId="31">AddInvoice!#REF!</definedName>
    <definedName name="invoice_currency_id">AddInvoice!$C$18</definedName>
    <definedName name="invoice_currency_symbol">AddInvoice!$D$17</definedName>
    <definedName name="invoice_customer" localSheetId="31">AddInvoice!$C$11</definedName>
    <definedName name="invoice_customer_id">AddInvoice!$E$11</definedName>
    <definedName name="invoice_date">AddInvoice!$C$9</definedName>
    <definedName name="invoice_deposit">AddInvoice!$Y$91</definedName>
    <definedName name="invoice_detail_list">SalesByItemData!$B$3:$X$5000</definedName>
    <definedName name="invoice_discount">AddInvoice!$Y$89</definedName>
    <definedName name="invoice_discount_amount">AddInvoice!$O$89</definedName>
    <definedName name="invoice_discount_by_item" localSheetId="31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AddInvoice!$R$4</definedName>
    <definedName name="invoice_letter_head_qrcode" localSheetId="31">AddInvoice!#REF!</definedName>
    <definedName name="invoice_list">SaleInvoiceData!$B$6:$AG$5000</definedName>
    <definedName name="invoice_list2">SaleInvoiceData!$C$6:$AH$5000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_letter_head_qrcode" localSheetId="31">AddInvoice!#REF!</definedName>
    <definedName name="invoice_note" localSheetId="40">AddReceivePayment!$W$28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print_letter_head" localSheetId="31">AddInvoice!#REF!</definedName>
    <definedName name="invoice_print_no_letter_head" localSheetId="31">AddInvoice!#REF!</definedName>
    <definedName name="invoice_qty" localSheetId="31">AddInvoice!$N$8:$N$87</definedName>
    <definedName name="invoice_qty_free" localSheetId="31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otal_amount">AddInvoice!$Y$92</definedName>
    <definedName name="invoice_total_dis_item_free">AddInvoice!$AB$88</definedName>
    <definedName name="invoice_total_price_bf_discount" localSheetId="31">AddInvoice!$AF$88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31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45">CountStock!$N$15:$N$27</definedName>
    <definedName name="last_adj_id">InventoryAdj!$F$8</definedName>
    <definedName name="last_invoice_id">AddInvoice!$F$8</definedName>
    <definedName name="last_pb_id" localSheetId="30">AddPurchaseBill!$F$8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ember_list">MemberList!$B$6:$J$100</definedName>
    <definedName name="member_option">MemberList!$J$6:$J$100</definedName>
    <definedName name="module_type_option">ModuleType!$H$7:$H$60</definedName>
    <definedName name="month_kh_option">Setting!$L$8:$L$19</definedName>
    <definedName name="nbc_exchange_date">NBC_Exchange_Rate!$M$3</definedName>
    <definedName name="oic_amount_due" localSheetId="39">OtherIncome!$J$16</definedName>
    <definedName name="oic_amount_en_paid" localSheetId="39">OtherIncome!$P$13</definedName>
    <definedName name="oic_amount_kh_paid" localSheetId="39">OtherIncome!$P$11</definedName>
    <definedName name="oic_amount_paid_befor" localSheetId="39">OtherIncome!$P$23</definedName>
    <definedName name="oic_amount_paid_over" localSheetId="39">OtherIncome!$U$22</definedName>
    <definedName name="oic_column_qty_stock" localSheetId="39">OtherIncome!$G$17:$G$21</definedName>
    <definedName name="oic_current_date" localSheetId="39">OtherIncome!$U$7</definedName>
    <definedName name="oic_customer_code" localSheetId="39">OtherIncome!$P$9</definedName>
    <definedName name="oic_customer_id" localSheetId="39">OtherIncome!$Q$9</definedName>
    <definedName name="oic_customer_name" localSheetId="39">OtherIncome!$P$10</definedName>
    <definedName name="oic_description" localSheetId="39">OtherIncome!$S$18</definedName>
    <definedName name="oic_exchange_rate" localSheetId="39">OtherIncome!$V$12</definedName>
    <definedName name="oic_expense_type" localSheetId="39">OtherIncome!$P$17</definedName>
    <definedName name="oic_group_member_option_select" localSheetId="39">OtherIncome!$W$36</definedName>
    <definedName name="oic_income_id" localSheetId="39">OtherIncome!$V$5</definedName>
    <definedName name="oic_invoice_no" localSheetId="39">OtherIncome!$P$16</definedName>
    <definedName name="oic_invoice_note" localSheetId="39">OtherIncome!$W$28</definedName>
    <definedName name="oic_invoice_sheet_no" localSheetId="39">OtherIncome!$Q$7</definedName>
    <definedName name="oic_last_discount" localSheetId="39">OtherIncome!$P$15</definedName>
    <definedName name="oic_module_types_option" localSheetId="39">OtherIncome!$U$15</definedName>
    <definedName name="oic_option_income_from" localSheetId="39">OtherIncome!$U$5</definedName>
    <definedName name="oic_option_income_type" localSheetId="39">OtherIncome!$P$5</definedName>
    <definedName name="oic_print_area" localSheetId="39">OtherIncome!$B$3:$K$20</definedName>
    <definedName name="oic_qty_invoice" localSheetId="39">OtherIncome!$G$17:$G$20</definedName>
    <definedName name="oic_receipt_code" localSheetId="39">OtherIncome!$J$8</definedName>
    <definedName name="oic_receipt_no" localSheetId="39">OtherIncome!$P$4</definedName>
    <definedName name="oic_recipient_id" localSheetId="39">OtherIncome!$Q$18</definedName>
    <definedName name="oic_recipient_option" localSheetId="39">OtherIncome!$P$18</definedName>
    <definedName name="oic_status" localSheetId="39">OtherIncome!$V$4</definedName>
    <definedName name="oic_status_note" localSheetId="39">OtherIncome!$U$4</definedName>
    <definedName name="oic_total_amount_paid" localSheetId="39">OtherIncome!$J$10</definedName>
    <definedName name="oic_total_balance" localSheetId="39">OtherIncome!$J$19</definedName>
    <definedName name="oic_total_balance_unpaid" localSheetId="39">OtherIncome!$P$25</definedName>
    <definedName name="oic_week" localSheetId="39">OtherIncome!$U$9</definedName>
    <definedName name="option_vendor" localSheetId="43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30">AddPurchaseBill!$C$13</definedName>
    <definedName name="pb_branch_id" localSheetId="30">AddPurchaseBill!$D$13</definedName>
    <definedName name="pb_chart_account_id" localSheetId="30">AddPurchaseBill!$D$20</definedName>
    <definedName name="pb_code" localSheetId="30">AddPurchaseBill!$E$9</definedName>
    <definedName name="pb_column_product" localSheetId="30">AddPurchaseBill!$M$8:$M$87</definedName>
    <definedName name="pb_column_qty_free" localSheetId="30">AddPurchaseBill!$P$8:$P$87</definedName>
    <definedName name="pb_copy_print_letter_head" localSheetId="30">AddPurchaseBill!$AS$112:$BI$217</definedName>
    <definedName name="pb_copy_print_no_letter_head" localSheetId="30">AddPurchaseBill!$BK$112:$CA$217</definedName>
    <definedName name="pb_currency_id" localSheetId="30">AddPurchaseBill!$C$18</definedName>
    <definedName name="pb_currency_symbol" localSheetId="30">AddPurchaseBill!$D$17</definedName>
    <definedName name="pb_date" localSheetId="30">AddPurchaseBill!$C$9</definedName>
    <definedName name="pb_deposit" localSheetId="30">AddPurchaseBill!$Y$91</definedName>
    <definedName name="pb_discount" localSheetId="30">AddPurchaseBill!$Y$89</definedName>
    <definedName name="pb_discount_amount" localSheetId="30">AddPurchaseBill!$O$89</definedName>
    <definedName name="pb_discount_by_item" localSheetId="30">AddPurchaseBill!$W$8:$W$87</definedName>
    <definedName name="pb_discount_id" localSheetId="30">AddPurchaseBill!$N$89</definedName>
    <definedName name="pb_discount_option" localSheetId="30">AddPurchaseBill!$M$89</definedName>
    <definedName name="pb_discount_percent" localSheetId="30">AddPurchaseBill!$P$89</definedName>
    <definedName name="pb_exchange_rate" localSheetId="30">AddPurchaseBill!$S$4</definedName>
    <definedName name="pb_location" localSheetId="30">AddPurchaseBill!$E$13</definedName>
    <definedName name="pb_location_group_id">AddPurchaseBill!$F$11</definedName>
    <definedName name="pb_location_id" localSheetId="30">AddPurchaseBill!$F$13</definedName>
    <definedName name="pb_net_days">AddPurchaseBill!$F$21</definedName>
    <definedName name="pb_no" localSheetId="30">AddPurchaseBill!$F$9</definedName>
    <definedName name="pb_no_letter_head_qrcode" localSheetId="30">AddPurchaseBill!$BZ$117</definedName>
    <definedName name="pb_note" localSheetId="30">AddPurchaseBill!$C$22</definedName>
    <definedName name="pb_payment_term_id" localSheetId="30">AddPurchaseBill!$F$20</definedName>
    <definedName name="pb_print_letter_head" localSheetId="30">AddPurchaseBill!$AT$112:$BH$215</definedName>
    <definedName name="pb_print_no_letter_head" localSheetId="30">AddPurchaseBill!$BL$112:$BZ$215</definedName>
    <definedName name="pb_purchase_request_no">AddPurchaseBill!$C$15</definedName>
    <definedName name="pb_qty" localSheetId="30">AddPurchaseBill!$N$8:$N$87</definedName>
    <definedName name="pb_qty_free" localSheetId="30">AddPurchaseBill!$O$8:$O$87</definedName>
    <definedName name="pb_ref_invoice">AddPurchaseBill!$E$15</definedName>
    <definedName name="pb_ref_invoice_date">AddPurchaseBill!$E$17</definedName>
    <definedName name="pb_status" localSheetId="30">AddPurchaseBill!$D$6</definedName>
    <definedName name="pb_sub_total_amount" localSheetId="30">AddPurchaseBill!$Y$88</definedName>
    <definedName name="pb_total_amount" localSheetId="30">AddPurchaseBill!$Y$92</definedName>
    <definedName name="pb_total_dis_item_free" localSheetId="30">AddPurchaseBill!$AB$88</definedName>
    <definedName name="pb_total_price_bf_discount" localSheetId="30">AddPurchaseBill!$AD$88</definedName>
    <definedName name="pb_total_vat" localSheetId="30">AddPurchaseBill!$Y$90</definedName>
    <definedName name="pb_vat" localSheetId="30">AddPurchaseBill!$U$90</definedName>
    <definedName name="pb_vat_cal_id" localSheetId="30">AddPurchaseBill!$S$90</definedName>
    <definedName name="pb_vat_chart_acc_id" localSheetId="30">AddPurchaseBill!$U$91</definedName>
    <definedName name="pb_vat_percent" localSheetId="30">AddPurchaseBill!$V$90</definedName>
    <definedName name="pb_vendor" localSheetId="30">AddPurchaseBill!$C$11</definedName>
    <definedName name="pb_vendor_id" localSheetId="30">AddPurchaseBill!$D$11</definedName>
    <definedName name="pb_week" localSheetId="30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_xlnm.Print_Area" localSheetId="57">'( 3)'!$B$2:$I$48</definedName>
    <definedName name="_xlnm.Print_Area" localSheetId="56">'(1 )'!$B$2:$I$45</definedName>
    <definedName name="_xlnm.Print_Area" localSheetId="31">AddInvoice!#REF!</definedName>
    <definedName name="_xlnm.Print_Area" localSheetId="30">AddPurchaseBill!$AT$113:$BH$215</definedName>
    <definedName name="_xlnm.Print_Area" localSheetId="32">AddQuotation!$AE$113:$AS$215</definedName>
    <definedName name="_xlnm.Print_Area" localSheetId="40">AddReceivePayment!$B$3:$K$20</definedName>
    <definedName name="_xlnm.Print_Area" localSheetId="52">Branch!$F$1:$Y$7</definedName>
    <definedName name="_xlnm.Print_Area" localSheetId="45">CountStock!$B$2:$H$35</definedName>
    <definedName name="_xlnm.Print_Area" localSheetId="38">CustomerList!$C$3:$O$129</definedName>
    <definedName name="_xlnm.Print_Area" localSheetId="1">Home!$C$1:$M$29</definedName>
    <definedName name="_xlnm.Print_Area" localSheetId="21">inventories!$A$1:$X$1745</definedName>
    <definedName name="_xlnm.Print_Area" localSheetId="55">MemberList!$B$1:$I$34</definedName>
    <definedName name="_xlnm.Print_Area" localSheetId="37">OtherExpense!$B$2:$J$31</definedName>
    <definedName name="_xlnm.Print_Area" localSheetId="29">PrintInvoice!$C$2:$K$156</definedName>
    <definedName name="_xlnm.Print_Area" localSheetId="59">ProductList!$B$1:$R$61</definedName>
    <definedName name="_xlnm.Print_Area" localSheetId="62">ProductPrice!$C$24:$N$258</definedName>
    <definedName name="_xlnm.Print_Area" localSheetId="41">ReportFinancialDetail!$B$1:$I$45</definedName>
    <definedName name="_xlnm.Print_Area" localSheetId="26">ReportInventoryActivitySummary!$B$1:$I$89</definedName>
    <definedName name="_xlnm.Print_Area" localSheetId="17">SaleInvoiceData!$C$1:$AC$892</definedName>
    <definedName name="_xlnm.Print_Area" localSheetId="42">Seller!$C$1:$J$22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PrintInvoice!$O$8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_xlnm.Print_Titles" localSheetId="31">AddInvoice!$123:$124</definedName>
    <definedName name="_xlnm.Print_Titles" localSheetId="30">AddPurchaseBill!$123:$124</definedName>
    <definedName name="_xlnm.Print_Titles" localSheetId="32">AddQuotation!$123:$124</definedName>
    <definedName name="_xlnm.Print_Titles" localSheetId="55">MemberList!$5:$5</definedName>
    <definedName name="_xlnm.Print_Titles" localSheetId="29">PrintInvoice!$2:$26</definedName>
    <definedName name="_xlnm.Print_Titles" localSheetId="62">ProductPrice!$26:$27</definedName>
    <definedName name="_xlnm.Print_Titles" localSheetId="17">SaleInvoiceData!$1:$5</definedName>
    <definedName name="product_barcode_list">ProductList!$D$8:$W$206</definedName>
    <definedName name="product_list">ProductList!$B$8:$Y$106</definedName>
    <definedName name="product_list_second">ProductList!$D$8:$T$31</definedName>
    <definedName name="product_name_option">ProductList!$V$8:$V$106</definedName>
    <definedName name="product_name_th">ProductList!$E$7</definedName>
    <definedName name="product_price_branch_id">ProductPrice!$H$6</definedName>
    <definedName name="product_price_input_by_uom_list">ProductPrice!$B$10:$W$21</definedName>
    <definedName name="product_price_list">ProductPrice!$D$28:$S$3020</definedName>
    <definedName name="product_price_name">ProductPrice!$E$4</definedName>
    <definedName name="product_price_pid">ProductPrice!$H$4</definedName>
    <definedName name="product_price_uom_id">ProductPrice!$K$4</definedName>
    <definedName name="qr_code_invoice">PrintInvoice!$G$10</definedName>
    <definedName name="qty_invoice" localSheetId="40">AddReceivePayment!$G$17:$G$20</definedName>
    <definedName name="qty_invoice" localSheetId="45">CountStock!$E$7:$E$16</definedName>
    <definedName name="qty_invoice" localSheetId="37">OtherExpense!$F$17:$F$20</definedName>
    <definedName name="quote_branch">AddQuotation!$C$13</definedName>
    <definedName name="quote_code">AddQuotation!$E$9</definedName>
    <definedName name="quote_column_product">AddQuotation!$M$8:$M$87</definedName>
    <definedName name="quote_column_qty_free">AddQuotation!$P$8:$P$87</definedName>
    <definedName name="quote_copy_print_letter_head">AddQuotation!$AD$112:$AT$217</definedName>
    <definedName name="quote_copy_print_no_letter_head">AddQuotation!$AV$112:$BL$217</definedName>
    <definedName name="quote_creator">AddQuotation!$E$18</definedName>
    <definedName name="quote_currency_id">AddQuotation!$E$20</definedName>
    <definedName name="quote_currency_symbol">AddQuotation!$F$20</definedName>
    <definedName name="quote_customer">AddQuotation!$C$11</definedName>
    <definedName name="quote_date">AddQuotation!$C$9</definedName>
    <definedName name="quote_dis_amount">AddQuotation!$O$89</definedName>
    <definedName name="quote_dis_option">AddQuotation!$M$89</definedName>
    <definedName name="quote_dis_percent">AddQuotation!$P$89</definedName>
    <definedName name="quote_discount">AddQuotation!$V$89</definedName>
    <definedName name="quote_discount_by_item">AddQuotation!$T$8:$T$87</definedName>
    <definedName name="quote_letter_head_qrcode">AddQuotation!$AS$116</definedName>
    <definedName name="quote_list">QuoteData!$C$8:$AH$200</definedName>
    <definedName name="quote_no">AddQuotation!$F$9</definedName>
    <definedName name="quote_no_letter_head_qrcode">AddQuotation!$BK$117</definedName>
    <definedName name="quote_note">AddQuotation!$C$22</definedName>
    <definedName name="quote_price_type">AddQuotation!$O$4</definedName>
    <definedName name="quote_price_type_id">AddQuotation!$R$4</definedName>
    <definedName name="quote_print_letter_head">AddQuotation!$AE$112:$AS$215</definedName>
    <definedName name="quote_print_no_letter_head">AddQuotation!$AW$112:$BK$215</definedName>
    <definedName name="quote_qty">AddQuotation!$N$8:$N$87</definedName>
    <definedName name="quote_qty_free">AddQuotation!$O$8:$O$87</definedName>
    <definedName name="quote_search_product">AddQuotation!$J$4</definedName>
    <definedName name="quote_service_type">AddQuotation!$E$13</definedName>
    <definedName name="quote_ship_telephone">AddQuotation!$C$20</definedName>
    <definedName name="quote_ship_to">AddQuotation!$C$15</definedName>
    <definedName name="quote_sub_total_amount">AddQuotation!$V$88</definedName>
    <definedName name="quote_total_amount">AddQuotation!$V$91</definedName>
    <definedName name="quote_total_dis_item_free" localSheetId="31">AddInvoice!$AB$88</definedName>
    <definedName name="quote_total_dis_item_free">AddQuotation!$X$88</definedName>
    <definedName name="quote_total_price_bf_discount">AddQuotation!$Z$88</definedName>
    <definedName name="quote_total_vat">AddQuotation!$V$90</definedName>
    <definedName name="quote_vat">AddQuotation!$R$90</definedName>
    <definedName name="quote_vat_cal_id">AddQuotation!$Q$90</definedName>
    <definedName name="quote_vat_percent">AddQuotation!$S$90</definedName>
    <definedName name="quote_week">AddQuotation!$D$9</definedName>
    <definedName name="Reference_Area" localSheetId="57">'( 3)'!$B$15</definedName>
    <definedName name="rp_amount_due">AddReceivePayment!$J$16</definedName>
    <definedName name="rp_amount_paid_befor">AddReceivePayment!$P$23</definedName>
    <definedName name="rp_amount_paid_over">AddReceivePayment!$U$22</definedName>
    <definedName name="rp_customer_name">AddReceivePayment!$P$10</definedName>
    <definedName name="rp_expense_type">AddReceivePayment!$P$17</definedName>
    <definedName name="rp_income_id">AddReceivePayment!$V$5</definedName>
    <definedName name="rp_invoice_date">AddReceivePayment!$U$6</definedName>
    <definedName name="rp_invoice_sheet_no">AddReceivePayment!$Q$7</definedName>
    <definedName name="rp_last_discount">AddReceivePayment!$P$15</definedName>
    <definedName name="rp_option_income_from" localSheetId="37">OtherExpense!$V$4</definedName>
    <definedName name="rp_option_income_from">AddReceivePayment!$U$5</definedName>
    <definedName name="rp_option_income_type" localSheetId="37">OtherExpense!$Q$4</definedName>
    <definedName name="rp_option_income_type">AddReceivePayment!$P$5</definedName>
    <definedName name="rp_receipt_code">AddReceivePayment!$J$8</definedName>
    <definedName name="rp_recipient_id">AddReceivePayment!$Q$18</definedName>
    <definedName name="rp_recipient_option">AddReceivePayment!$P$18</definedName>
    <definedName name="rp_status_note">AddReceivePayment!$U$4</definedName>
    <definedName name="rp_total_amount_paid">AddReceivePayment!$J$10</definedName>
    <definedName name="rp_total_balance">AddReceivePayment!$J$19</definedName>
    <definedName name="rp_total_balance_unpaid">AddReceivePayment!$P$25</definedName>
    <definedName name="rp_week">AddReceivePayment!$U$9</definedName>
    <definedName name="sale_invoice_data_list">SaleInvoiceData!$C$6:$AF$1048576</definedName>
    <definedName name="sales_by_item_data_list">SalesByItemData!$E$3:$W$531</definedName>
    <definedName name="saller_list">Seller!$C$7:$K$25</definedName>
    <definedName name="saller_option">Seller!$K$7:$K$25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UoM!$C$8:$H$200</definedName>
    <definedName name="uom_option">UoM!$H$8:$H$63</definedName>
    <definedName name="vat_list">Setting!$G$24:$J$38</definedName>
    <definedName name="vat_option">Setting!$J$24:$J$38</definedName>
    <definedName name="VATRATE" localSheetId="57">'( 3)'!$F$49</definedName>
    <definedName name="VATRATE" localSheetId="56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805" l="1"/>
  <c r="W13" i="824"/>
  <c r="Z8" i="824"/>
  <c r="Z9" i="805" a="1"/>
  <c r="AA9" i="805"/>
  <c r="AB9" i="805"/>
  <c r="AC9" i="805"/>
  <c r="AD9" i="805"/>
  <c r="AE9" i="805"/>
  <c r="AF9" i="805"/>
  <c r="AG9" i="805"/>
  <c r="AH9" i="805"/>
  <c r="AI9" i="805"/>
  <c r="AJ9" i="805"/>
  <c r="AK9" i="805"/>
  <c r="AL9" i="805"/>
  <c r="AM9" i="805"/>
  <c r="AN9" i="805"/>
  <c r="AQ9" i="805"/>
  <c r="AR9" i="805"/>
  <c r="AS9" i="805"/>
  <c r="AT9" i="805" a="1"/>
  <c r="AU9" i="805"/>
  <c r="AV9" i="805"/>
  <c r="AW9" i="805"/>
  <c r="AX9" i="805"/>
  <c r="AY9" i="805"/>
  <c r="Z10" i="805" a="1"/>
  <c r="AA10" i="805"/>
  <c r="AB10" i="805"/>
  <c r="AC10" i="805"/>
  <c r="AD10" i="805"/>
  <c r="AE10" i="805"/>
  <c r="AF10" i="805"/>
  <c r="AG10" i="805"/>
  <c r="AH10" i="805"/>
  <c r="AI10" i="805"/>
  <c r="AJ10" i="805"/>
  <c r="AK10" i="805"/>
  <c r="AL10" i="805"/>
  <c r="AM10" i="805"/>
  <c r="AN10" i="805"/>
  <c r="AQ10" i="805"/>
  <c r="AR10" i="805"/>
  <c r="AS10" i="805"/>
  <c r="AT10" i="805" a="1"/>
  <c r="AU10" i="805"/>
  <c r="AV10" i="805"/>
  <c r="AW10" i="805"/>
  <c r="AX10" i="805"/>
  <c r="AY10" i="805"/>
  <c r="Z11" i="805" a="1"/>
  <c r="AA11" i="805"/>
  <c r="AB11" i="805"/>
  <c r="AC11" i="805"/>
  <c r="AD11" i="805"/>
  <c r="AE11" i="805"/>
  <c r="AF11" i="805"/>
  <c r="AG11" i="805"/>
  <c r="AH11" i="805"/>
  <c r="AI11" i="805"/>
  <c r="AJ11" i="805"/>
  <c r="AK11" i="805"/>
  <c r="AL11" i="805"/>
  <c r="AM11" i="805"/>
  <c r="AQ11" i="805"/>
  <c r="AR11" i="805"/>
  <c r="AS11" i="805"/>
  <c r="AT11" i="805" a="1"/>
  <c r="AU11" i="805"/>
  <c r="AV11" i="805"/>
  <c r="AW11" i="805"/>
  <c r="AX11" i="805"/>
  <c r="AY11" i="805"/>
  <c r="Z12" i="805" a="1"/>
  <c r="AA12" i="805"/>
  <c r="AB12" i="805"/>
  <c r="AC12" i="805"/>
  <c r="AD12" i="805"/>
  <c r="AE12" i="805"/>
  <c r="AF12" i="805"/>
  <c r="AG12" i="805"/>
  <c r="AH12" i="805"/>
  <c r="AI12" i="805"/>
  <c r="AJ12" i="805"/>
  <c r="AK12" i="805"/>
  <c r="AL12" i="805"/>
  <c r="AM12" i="805"/>
  <c r="AQ12" i="805"/>
  <c r="AR12" i="805"/>
  <c r="AS12" i="805"/>
  <c r="AT12" i="805" a="1"/>
  <c r="AU12" i="805"/>
  <c r="AV12" i="805"/>
  <c r="AW12" i="805"/>
  <c r="AX12" i="805"/>
  <c r="AY12" i="805"/>
  <c r="Z13" i="805" a="1"/>
  <c r="AA13" i="805"/>
  <c r="AB13" i="805"/>
  <c r="AC13" i="805"/>
  <c r="AD13" i="805"/>
  <c r="AE13" i="805"/>
  <c r="AF13" i="805"/>
  <c r="AG13" i="805"/>
  <c r="AH13" i="805"/>
  <c r="AI13" i="805"/>
  <c r="AJ13" i="805"/>
  <c r="AK13" i="805"/>
  <c r="AL13" i="805"/>
  <c r="AM13" i="805"/>
  <c r="AQ13" i="805"/>
  <c r="AR13" i="805"/>
  <c r="AS13" i="805"/>
  <c r="AT13" i="805" a="1"/>
  <c r="AU13" i="805"/>
  <c r="AV13" i="805"/>
  <c r="AW13" i="805"/>
  <c r="AX13" i="805"/>
  <c r="AY13" i="805"/>
  <c r="Z14" i="805" a="1"/>
  <c r="AA14" i="805"/>
  <c r="AB14" i="805"/>
  <c r="AC14" i="805"/>
  <c r="AD14" i="805"/>
  <c r="AE14" i="805"/>
  <c r="AF14" i="805"/>
  <c r="AG14" i="805"/>
  <c r="AH14" i="805"/>
  <c r="AI14" i="805"/>
  <c r="AJ14" i="805"/>
  <c r="AK14" i="805"/>
  <c r="AL14" i="805"/>
  <c r="AM14" i="805"/>
  <c r="AQ14" i="805"/>
  <c r="AR14" i="805"/>
  <c r="AS14" i="805"/>
  <c r="AT14" i="805" a="1"/>
  <c r="AU14" i="805"/>
  <c r="AV14" i="805"/>
  <c r="AW14" i="805"/>
  <c r="AX14" i="805"/>
  <c r="AY14" i="805"/>
  <c r="Z15" i="805" a="1"/>
  <c r="AA15" i="805"/>
  <c r="AB15" i="805"/>
  <c r="AC15" i="805"/>
  <c r="AD15" i="805"/>
  <c r="AE15" i="805"/>
  <c r="AF15" i="805"/>
  <c r="AG15" i="805"/>
  <c r="AH15" i="805"/>
  <c r="AI15" i="805"/>
  <c r="AJ15" i="805"/>
  <c r="AK15" i="805"/>
  <c r="AL15" i="805"/>
  <c r="AM15" i="805"/>
  <c r="AQ15" i="805"/>
  <c r="AR15" i="805"/>
  <c r="AS15" i="805"/>
  <c r="AT15" i="805" a="1"/>
  <c r="AU15" i="805"/>
  <c r="AV15" i="805"/>
  <c r="AW15" i="805"/>
  <c r="AX15" i="805"/>
  <c r="AY15" i="805"/>
  <c r="Z16" i="805" a="1"/>
  <c r="AA16" i="805"/>
  <c r="AB16" i="805"/>
  <c r="AC16" i="805"/>
  <c r="AD16" i="805"/>
  <c r="AE16" i="805"/>
  <c r="AF16" i="805"/>
  <c r="AG16" i="805"/>
  <c r="AH16" i="805"/>
  <c r="AI16" i="805"/>
  <c r="AJ16" i="805"/>
  <c r="AK16" i="805"/>
  <c r="AL16" i="805"/>
  <c r="AM16" i="805"/>
  <c r="AQ16" i="805"/>
  <c r="AR16" i="805"/>
  <c r="AS16" i="805"/>
  <c r="AT16" i="805" a="1"/>
  <c r="AU16" i="805"/>
  <c r="AV16" i="805"/>
  <c r="AW16" i="805"/>
  <c r="AX16" i="805"/>
  <c r="AY16" i="805"/>
  <c r="Z17" i="805" a="1"/>
  <c r="AA17" i="805"/>
  <c r="AB17" i="805"/>
  <c r="AC17" i="805"/>
  <c r="AD17" i="805"/>
  <c r="AE17" i="805"/>
  <c r="AF17" i="805"/>
  <c r="AG17" i="805"/>
  <c r="AH17" i="805"/>
  <c r="AI17" i="805"/>
  <c r="AJ17" i="805"/>
  <c r="AK17" i="805"/>
  <c r="AL17" i="805"/>
  <c r="AM17" i="805"/>
  <c r="AQ17" i="805"/>
  <c r="AR17" i="805"/>
  <c r="AS17" i="805"/>
  <c r="AT17" i="805" a="1"/>
  <c r="AU17" i="805"/>
  <c r="AV17" i="805"/>
  <c r="AW17" i="805"/>
  <c r="AX17" i="805"/>
  <c r="AY17" i="805"/>
  <c r="Z18" i="805" a="1"/>
  <c r="AA18" i="805"/>
  <c r="AB18" i="805"/>
  <c r="AC18" i="805"/>
  <c r="AD18" i="805"/>
  <c r="AE18" i="805"/>
  <c r="AF18" i="805"/>
  <c r="AG18" i="805"/>
  <c r="AH18" i="805"/>
  <c r="AI18" i="805"/>
  <c r="AJ18" i="805"/>
  <c r="AK18" i="805"/>
  <c r="AL18" i="805"/>
  <c r="AM18" i="805"/>
  <c r="AQ18" i="805"/>
  <c r="AR18" i="805"/>
  <c r="AS18" i="805"/>
  <c r="AT18" i="805" a="1"/>
  <c r="AU18" i="805"/>
  <c r="AV18" i="805"/>
  <c r="AW18" i="805"/>
  <c r="AX18" i="805"/>
  <c r="AY18" i="805"/>
  <c r="Z19" i="805" a="1"/>
  <c r="AA19" i="805"/>
  <c r="AB19" i="805"/>
  <c r="AC19" i="805"/>
  <c r="AD19" i="805"/>
  <c r="AE19" i="805"/>
  <c r="AF19" i="805"/>
  <c r="AG19" i="805"/>
  <c r="AH19" i="805"/>
  <c r="AI19" i="805"/>
  <c r="AJ19" i="805"/>
  <c r="AK19" i="805"/>
  <c r="AL19" i="805"/>
  <c r="AM19" i="805"/>
  <c r="AN19" i="805"/>
  <c r="AQ19" i="805"/>
  <c r="AR19" i="805"/>
  <c r="AS19" i="805"/>
  <c r="AT19" i="805" a="1"/>
  <c r="AU19" i="805"/>
  <c r="AV19" i="805"/>
  <c r="AW19" i="805"/>
  <c r="AX19" i="805"/>
  <c r="AY19" i="805"/>
  <c r="Z20" i="805" a="1"/>
  <c r="AA20" i="805"/>
  <c r="AB20" i="805"/>
  <c r="AC20" i="805"/>
  <c r="AD20" i="805"/>
  <c r="AE20" i="805"/>
  <c r="AF20" i="805"/>
  <c r="AG20" i="805"/>
  <c r="AH20" i="805"/>
  <c r="AI20" i="805"/>
  <c r="AJ20" i="805"/>
  <c r="AK20" i="805"/>
  <c r="AL20" i="805"/>
  <c r="AM20" i="805"/>
  <c r="AQ20" i="805"/>
  <c r="AR20" i="805"/>
  <c r="AS20" i="805"/>
  <c r="AT20" i="805" a="1"/>
  <c r="AU20" i="805"/>
  <c r="AV20" i="805"/>
  <c r="AW20" i="805"/>
  <c r="AX20" i="805"/>
  <c r="AY20" i="805"/>
  <c r="Z21" i="805" a="1"/>
  <c r="AA21" i="805"/>
  <c r="AB21" i="805"/>
  <c r="AC21" i="805"/>
  <c r="AD21" i="805"/>
  <c r="AE21" i="805"/>
  <c r="AF21" i="805"/>
  <c r="AG21" i="805"/>
  <c r="AH21" i="805"/>
  <c r="AI21" i="805"/>
  <c r="AJ21" i="805"/>
  <c r="AK21" i="805"/>
  <c r="AL21" i="805"/>
  <c r="AM21" i="805"/>
  <c r="AQ21" i="805"/>
  <c r="AR21" i="805"/>
  <c r="AS21" i="805"/>
  <c r="AT21" i="805" a="1"/>
  <c r="AU21" i="805"/>
  <c r="AV21" i="805"/>
  <c r="AW21" i="805"/>
  <c r="AX21" i="805"/>
  <c r="AY21" i="805"/>
  <c r="Z22" i="805" a="1"/>
  <c r="AA22" i="805"/>
  <c r="AB22" i="805"/>
  <c r="AC22" i="805"/>
  <c r="AD22" i="805"/>
  <c r="AE22" i="805"/>
  <c r="AF22" i="805"/>
  <c r="AG22" i="805"/>
  <c r="AH22" i="805"/>
  <c r="AI22" i="805"/>
  <c r="AJ22" i="805"/>
  <c r="AK22" i="805"/>
  <c r="AL22" i="805"/>
  <c r="AM22" i="805"/>
  <c r="AQ22" i="805"/>
  <c r="AR22" i="805"/>
  <c r="AS22" i="805"/>
  <c r="AT22" i="805" a="1"/>
  <c r="AU22" i="805"/>
  <c r="AV22" i="805"/>
  <c r="AW22" i="805"/>
  <c r="AX22" i="805"/>
  <c r="AY22" i="805"/>
  <c r="Z23" i="805" a="1"/>
  <c r="AA23" i="805"/>
  <c r="AB23" i="805"/>
  <c r="AC23" i="805"/>
  <c r="AD23" i="805"/>
  <c r="AE23" i="805"/>
  <c r="AF23" i="805"/>
  <c r="AG23" i="805"/>
  <c r="AH23" i="805"/>
  <c r="AI23" i="805"/>
  <c r="AJ23" i="805"/>
  <c r="AK23" i="805"/>
  <c r="AL23" i="805"/>
  <c r="AM23" i="805"/>
  <c r="AQ23" i="805"/>
  <c r="AR23" i="805"/>
  <c r="AS23" i="805"/>
  <c r="AT23" i="805" a="1"/>
  <c r="AU23" i="805"/>
  <c r="AV23" i="805"/>
  <c r="AW23" i="805"/>
  <c r="AX23" i="805"/>
  <c r="AY23" i="805"/>
  <c r="Z24" i="805" a="1"/>
  <c r="AA24" i="805"/>
  <c r="AB24" i="805"/>
  <c r="AC24" i="805"/>
  <c r="AD24" i="805"/>
  <c r="AE24" i="805"/>
  <c r="AF24" i="805"/>
  <c r="AG24" i="805"/>
  <c r="AH24" i="805"/>
  <c r="AI24" i="805"/>
  <c r="AJ24" i="805"/>
  <c r="AK24" i="805"/>
  <c r="AL24" i="805"/>
  <c r="AM24" i="805"/>
  <c r="AQ24" i="805"/>
  <c r="AR24" i="805"/>
  <c r="AS24" i="805"/>
  <c r="AT24" i="805" a="1"/>
  <c r="AU24" i="805"/>
  <c r="AV24" i="805"/>
  <c r="AW24" i="805"/>
  <c r="AX24" i="805"/>
  <c r="AY24" i="805"/>
  <c r="Z25" i="805" a="1"/>
  <c r="AA25" i="805"/>
  <c r="AB25" i="805"/>
  <c r="AC25" i="805"/>
  <c r="AD25" i="805"/>
  <c r="AE25" i="805"/>
  <c r="AF25" i="805"/>
  <c r="AG25" i="805"/>
  <c r="AH25" i="805"/>
  <c r="AI25" i="805"/>
  <c r="AJ25" i="805"/>
  <c r="AK25" i="805"/>
  <c r="AL25" i="805"/>
  <c r="AM25" i="805"/>
  <c r="AQ25" i="805"/>
  <c r="AR25" i="805"/>
  <c r="AS25" i="805"/>
  <c r="AT25" i="805" a="1"/>
  <c r="AU25" i="805"/>
  <c r="AV25" i="805"/>
  <c r="AW25" i="805"/>
  <c r="AX25" i="805"/>
  <c r="AY25" i="805"/>
  <c r="Z26" i="805" a="1"/>
  <c r="AA26" i="805"/>
  <c r="AB26" i="805"/>
  <c r="AC26" i="805"/>
  <c r="AD26" i="805"/>
  <c r="AE26" i="805"/>
  <c r="AF26" i="805"/>
  <c r="AG26" i="805"/>
  <c r="AH26" i="805"/>
  <c r="AI26" i="805"/>
  <c r="AJ26" i="805"/>
  <c r="AK26" i="805"/>
  <c r="AL26" i="805"/>
  <c r="AM26" i="805"/>
  <c r="AQ26" i="805"/>
  <c r="AR26" i="805"/>
  <c r="AS26" i="805"/>
  <c r="AT26" i="805" a="1"/>
  <c r="AU26" i="805"/>
  <c r="AV26" i="805"/>
  <c r="AW26" i="805"/>
  <c r="AX26" i="805"/>
  <c r="AY26" i="805"/>
  <c r="Z27" i="805" a="1"/>
  <c r="AA27" i="805"/>
  <c r="AB27" i="805"/>
  <c r="AC27" i="805"/>
  <c r="AD27" i="805"/>
  <c r="AE27" i="805"/>
  <c r="AF27" i="805"/>
  <c r="AG27" i="805"/>
  <c r="AH27" i="805"/>
  <c r="AI27" i="805"/>
  <c r="AJ27" i="805"/>
  <c r="AK27" i="805"/>
  <c r="AL27" i="805"/>
  <c r="AM27" i="805"/>
  <c r="AQ27" i="805"/>
  <c r="AR27" i="805"/>
  <c r="AS27" i="805"/>
  <c r="AT27" i="805" a="1"/>
  <c r="AU27" i="805"/>
  <c r="AV27" i="805"/>
  <c r="AW27" i="805"/>
  <c r="AX27" i="805"/>
  <c r="AY27" i="805"/>
  <c r="Z28" i="805" a="1"/>
  <c r="AA28" i="805"/>
  <c r="AB28" i="805"/>
  <c r="AC28" i="805"/>
  <c r="AD28" i="805"/>
  <c r="AE28" i="805"/>
  <c r="AF28" i="805"/>
  <c r="AG28" i="805"/>
  <c r="AH28" i="805"/>
  <c r="AI28" i="805"/>
  <c r="AJ28" i="805"/>
  <c r="AK28" i="805"/>
  <c r="AL28" i="805"/>
  <c r="AM28" i="805"/>
  <c r="AQ28" i="805"/>
  <c r="AR28" i="805"/>
  <c r="AS28" i="805"/>
  <c r="AT28" i="805" a="1"/>
  <c r="AU28" i="805"/>
  <c r="AV28" i="805"/>
  <c r="AW28" i="805"/>
  <c r="AX28" i="805"/>
  <c r="AY28" i="805"/>
  <c r="Z29" i="805" a="1"/>
  <c r="AA29" i="805"/>
  <c r="AB29" i="805"/>
  <c r="AC29" i="805"/>
  <c r="AD29" i="805"/>
  <c r="AE29" i="805"/>
  <c r="AF29" i="805"/>
  <c r="AG29" i="805"/>
  <c r="AH29" i="805"/>
  <c r="AI29" i="805"/>
  <c r="AJ29" i="805"/>
  <c r="AK29" i="805"/>
  <c r="AL29" i="805"/>
  <c r="AM29" i="805"/>
  <c r="AN29" i="805"/>
  <c r="AQ29" i="805"/>
  <c r="AR29" i="805"/>
  <c r="AS29" i="805"/>
  <c r="AT29" i="805" a="1"/>
  <c r="AU29" i="805"/>
  <c r="AV29" i="805"/>
  <c r="AW29" i="805"/>
  <c r="AX29" i="805"/>
  <c r="AY29" i="805"/>
  <c r="Z30" i="805" a="1"/>
  <c r="AA30" i="805"/>
  <c r="AB30" i="805"/>
  <c r="AC30" i="805"/>
  <c r="AD30" i="805"/>
  <c r="AE30" i="805"/>
  <c r="AF30" i="805"/>
  <c r="AG30" i="805"/>
  <c r="AH30" i="805"/>
  <c r="AI30" i="805"/>
  <c r="AJ30" i="805"/>
  <c r="AK30" i="805"/>
  <c r="AL30" i="805"/>
  <c r="AM30" i="805"/>
  <c r="AQ30" i="805"/>
  <c r="AR30" i="805"/>
  <c r="AS30" i="805"/>
  <c r="AT30" i="805" a="1"/>
  <c r="AU30" i="805"/>
  <c r="AV30" i="805"/>
  <c r="AW30" i="805"/>
  <c r="AX30" i="805"/>
  <c r="AY30" i="805"/>
  <c r="Z31" i="805" a="1"/>
  <c r="AA31" i="805"/>
  <c r="AB31" i="805"/>
  <c r="AC31" i="805"/>
  <c r="AD31" i="805"/>
  <c r="AE31" i="805"/>
  <c r="AF31" i="805"/>
  <c r="AG31" i="805"/>
  <c r="AH31" i="805"/>
  <c r="AI31" i="805"/>
  <c r="AJ31" i="805"/>
  <c r="AK31" i="805"/>
  <c r="AL31" i="805"/>
  <c r="AM31" i="805"/>
  <c r="AQ31" i="805"/>
  <c r="AR31" i="805"/>
  <c r="AS31" i="805"/>
  <c r="AT31" i="805" a="1"/>
  <c r="AU31" i="805"/>
  <c r="AV31" i="805"/>
  <c r="AW31" i="805"/>
  <c r="AX31" i="805"/>
  <c r="AY31" i="805"/>
  <c r="Z32" i="805" a="1"/>
  <c r="AA32" i="805"/>
  <c r="AB32" i="805"/>
  <c r="AC32" i="805"/>
  <c r="AD32" i="805"/>
  <c r="AE32" i="805"/>
  <c r="AF32" i="805"/>
  <c r="AG32" i="805"/>
  <c r="AH32" i="805"/>
  <c r="AI32" i="805"/>
  <c r="AJ32" i="805"/>
  <c r="AK32" i="805"/>
  <c r="AL32" i="805"/>
  <c r="AM32" i="805"/>
  <c r="AQ32" i="805"/>
  <c r="AR32" i="805"/>
  <c r="AS32" i="805"/>
  <c r="AT32" i="805" a="1"/>
  <c r="AU32" i="805"/>
  <c r="AV32" i="805"/>
  <c r="AW32" i="805"/>
  <c r="AX32" i="805"/>
  <c r="AY32" i="805"/>
  <c r="Z33" i="805" a="1"/>
  <c r="AA33" i="805"/>
  <c r="AB33" i="805"/>
  <c r="AC33" i="805"/>
  <c r="AD33" i="805"/>
  <c r="AE33" i="805"/>
  <c r="AF33" i="805"/>
  <c r="AG33" i="805"/>
  <c r="AH33" i="805"/>
  <c r="AI33" i="805"/>
  <c r="AJ33" i="805"/>
  <c r="AK33" i="805"/>
  <c r="AL33" i="805"/>
  <c r="AM33" i="805"/>
  <c r="AQ33" i="805"/>
  <c r="AR33" i="805"/>
  <c r="AT33" i="805" a="1"/>
  <c r="AU33" i="805"/>
  <c r="AV33" i="805"/>
  <c r="AW33" i="805"/>
  <c r="AX33" i="805"/>
  <c r="AY33" i="805"/>
  <c r="Z34" i="805" a="1"/>
  <c r="AA34" i="805"/>
  <c r="AB34" i="805"/>
  <c r="AC34" i="805"/>
  <c r="AD34" i="805"/>
  <c r="AE34" i="805"/>
  <c r="AF34" i="805"/>
  <c r="AG34" i="805"/>
  <c r="AH34" i="805"/>
  <c r="AI34" i="805"/>
  <c r="AJ34" i="805"/>
  <c r="AK34" i="805"/>
  <c r="AL34" i="805"/>
  <c r="AM34" i="805"/>
  <c r="AQ34" i="805"/>
  <c r="AR34" i="805"/>
  <c r="AS34" i="805"/>
  <c r="AT34" i="805" a="1"/>
  <c r="AU34" i="805"/>
  <c r="AV34" i="805"/>
  <c r="AW34" i="805"/>
  <c r="AX34" i="805"/>
  <c r="AY34" i="805"/>
  <c r="Z35" i="805" a="1"/>
  <c r="AA35" i="805"/>
  <c r="AB35" i="805"/>
  <c r="AC35" i="805"/>
  <c r="AD35" i="805"/>
  <c r="AE35" i="805"/>
  <c r="AF35" i="805"/>
  <c r="AG35" i="805"/>
  <c r="AH35" i="805"/>
  <c r="AI35" i="805"/>
  <c r="AJ35" i="805"/>
  <c r="AK35" i="805"/>
  <c r="AL35" i="805"/>
  <c r="AM35" i="805"/>
  <c r="AQ35" i="805"/>
  <c r="AR35" i="805"/>
  <c r="AS35" i="805"/>
  <c r="AT35" i="805" a="1"/>
  <c r="AU35" i="805"/>
  <c r="AV35" i="805"/>
  <c r="AW35" i="805"/>
  <c r="AX35" i="805"/>
  <c r="AY35" i="805"/>
  <c r="Z36" i="805" a="1"/>
  <c r="AA36" i="805"/>
  <c r="AB36" i="805"/>
  <c r="AC36" i="805"/>
  <c r="AD36" i="805"/>
  <c r="AE36" i="805"/>
  <c r="AF36" i="805"/>
  <c r="AG36" i="805"/>
  <c r="AH36" i="805"/>
  <c r="AI36" i="805"/>
  <c r="AJ36" i="805"/>
  <c r="AK36" i="805"/>
  <c r="AL36" i="805"/>
  <c r="AM36" i="805"/>
  <c r="AQ36" i="805"/>
  <c r="AR36" i="805"/>
  <c r="AS36" i="805"/>
  <c r="AT36" i="805" a="1"/>
  <c r="AU36" i="805"/>
  <c r="AV36" i="805"/>
  <c r="AW36" i="805"/>
  <c r="AX36" i="805"/>
  <c r="AY36" i="805"/>
  <c r="Z37" i="805" a="1"/>
  <c r="AA37" i="805"/>
  <c r="AB37" i="805"/>
  <c r="AC37" i="805"/>
  <c r="AD37" i="805"/>
  <c r="AE37" i="805"/>
  <c r="AF37" i="805"/>
  <c r="AG37" i="805"/>
  <c r="AH37" i="805"/>
  <c r="AI37" i="805"/>
  <c r="AJ37" i="805"/>
  <c r="AK37" i="805"/>
  <c r="AL37" i="805"/>
  <c r="AM37" i="805"/>
  <c r="AQ37" i="805"/>
  <c r="AR37" i="805"/>
  <c r="AS37" i="805"/>
  <c r="AT37" i="805" a="1"/>
  <c r="AU37" i="805"/>
  <c r="AV37" i="805"/>
  <c r="AW37" i="805"/>
  <c r="AX37" i="805"/>
  <c r="AY37" i="805"/>
  <c r="Z38" i="805" a="1"/>
  <c r="AA38" i="805"/>
  <c r="AB38" i="805"/>
  <c r="AC38" i="805"/>
  <c r="AD38" i="805"/>
  <c r="AE38" i="805"/>
  <c r="AF38" i="805"/>
  <c r="AG38" i="805"/>
  <c r="AH38" i="805"/>
  <c r="AI38" i="805"/>
  <c r="AJ38" i="805"/>
  <c r="AK38" i="805"/>
  <c r="AL38" i="805"/>
  <c r="AM38" i="805"/>
  <c r="AQ38" i="805"/>
  <c r="AR38" i="805"/>
  <c r="AS38" i="805"/>
  <c r="AT38" i="805" a="1"/>
  <c r="AU38" i="805"/>
  <c r="AV38" i="805"/>
  <c r="AW38" i="805"/>
  <c r="AX38" i="805"/>
  <c r="AY38" i="805"/>
  <c r="Z39" i="805" a="1"/>
  <c r="AA39" i="805"/>
  <c r="AB39" i="805"/>
  <c r="AC39" i="805"/>
  <c r="AD39" i="805"/>
  <c r="AE39" i="805"/>
  <c r="AF39" i="805"/>
  <c r="AG39" i="805"/>
  <c r="AH39" i="805"/>
  <c r="AI39" i="805"/>
  <c r="AJ39" i="805"/>
  <c r="AK39" i="805"/>
  <c r="AL39" i="805"/>
  <c r="AM39" i="805"/>
  <c r="AQ39" i="805"/>
  <c r="AR39" i="805"/>
  <c r="AS39" i="805"/>
  <c r="AT39" i="805" a="1"/>
  <c r="AU39" i="805"/>
  <c r="AV39" i="805"/>
  <c r="AW39" i="805"/>
  <c r="AX39" i="805"/>
  <c r="AY39" i="805"/>
  <c r="Z40" i="805" a="1"/>
  <c r="AA40" i="805"/>
  <c r="AB40" i="805"/>
  <c r="AC40" i="805"/>
  <c r="AD40" i="805"/>
  <c r="AE40" i="805"/>
  <c r="AF40" i="805"/>
  <c r="AG40" i="805"/>
  <c r="AH40" i="805"/>
  <c r="AI40" i="805"/>
  <c r="AJ40" i="805"/>
  <c r="AK40" i="805"/>
  <c r="AL40" i="805"/>
  <c r="AM40" i="805"/>
  <c r="AQ40" i="805"/>
  <c r="AR40" i="805"/>
  <c r="AS40" i="805"/>
  <c r="AT40" i="805" a="1"/>
  <c r="AU40" i="805"/>
  <c r="AV40" i="805"/>
  <c r="AW40" i="805"/>
  <c r="AX40" i="805"/>
  <c r="AY40" i="805"/>
  <c r="Z41" i="805" a="1"/>
  <c r="AA41" i="805"/>
  <c r="AB41" i="805"/>
  <c r="AC41" i="805"/>
  <c r="AD41" i="805"/>
  <c r="AE41" i="805"/>
  <c r="AF41" i="805"/>
  <c r="AG41" i="805"/>
  <c r="AH41" i="805"/>
  <c r="AI41" i="805"/>
  <c r="AJ41" i="805"/>
  <c r="AK41" i="805"/>
  <c r="AL41" i="805"/>
  <c r="AM41" i="805"/>
  <c r="AQ41" i="805"/>
  <c r="AR41" i="805"/>
  <c r="AS41" i="805"/>
  <c r="AT41" i="805" a="1"/>
  <c r="AU41" i="805"/>
  <c r="AV41" i="805"/>
  <c r="AW41" i="805"/>
  <c r="AX41" i="805"/>
  <c r="AY41" i="805"/>
  <c r="Z42" i="805" a="1"/>
  <c r="AA42" i="805"/>
  <c r="AB42" i="805"/>
  <c r="AC42" i="805"/>
  <c r="AD42" i="805"/>
  <c r="AE42" i="805"/>
  <c r="AF42" i="805"/>
  <c r="AG42" i="805"/>
  <c r="AH42" i="805"/>
  <c r="AI42" i="805"/>
  <c r="AJ42" i="805"/>
  <c r="AK42" i="805"/>
  <c r="AL42" i="805"/>
  <c r="AM42" i="805"/>
  <c r="AQ42" i="805"/>
  <c r="AR42" i="805"/>
  <c r="AS42" i="805"/>
  <c r="AT42" i="805" a="1"/>
  <c r="AU42" i="805"/>
  <c r="AV42" i="805"/>
  <c r="AW42" i="805"/>
  <c r="AX42" i="805"/>
  <c r="AY42" i="805"/>
  <c r="Z43" i="805" a="1"/>
  <c r="AA43" i="805"/>
  <c r="AB43" i="805"/>
  <c r="AC43" i="805"/>
  <c r="AD43" i="805"/>
  <c r="AE43" i="805"/>
  <c r="AF43" i="805"/>
  <c r="AG43" i="805"/>
  <c r="AH43" i="805"/>
  <c r="AI43" i="805"/>
  <c r="AJ43" i="805"/>
  <c r="AK43" i="805"/>
  <c r="AL43" i="805"/>
  <c r="AM43" i="805"/>
  <c r="AQ43" i="805"/>
  <c r="AR43" i="805"/>
  <c r="AS43" i="805"/>
  <c r="AT43" i="805" a="1"/>
  <c r="AU43" i="805"/>
  <c r="AV43" i="805"/>
  <c r="AW43" i="805"/>
  <c r="AX43" i="805"/>
  <c r="AY43" i="805"/>
  <c r="Z44" i="805" a="1"/>
  <c r="AA44" i="805"/>
  <c r="AB44" i="805"/>
  <c r="AC44" i="805"/>
  <c r="AD44" i="805"/>
  <c r="AE44" i="805"/>
  <c r="AF44" i="805"/>
  <c r="AG44" i="805"/>
  <c r="AH44" i="805"/>
  <c r="AI44" i="805"/>
  <c r="AJ44" i="805"/>
  <c r="AK44" i="805"/>
  <c r="AL44" i="805"/>
  <c r="AM44" i="805"/>
  <c r="AQ44" i="805"/>
  <c r="AR44" i="805"/>
  <c r="AS44" i="805"/>
  <c r="AT44" i="805" a="1"/>
  <c r="AU44" i="805"/>
  <c r="AV44" i="805"/>
  <c r="AW44" i="805"/>
  <c r="AX44" i="805"/>
  <c r="AY44" i="805"/>
  <c r="Z45" i="805" a="1"/>
  <c r="AA45" i="805"/>
  <c r="AB45" i="805"/>
  <c r="AC45" i="805"/>
  <c r="AD45" i="805"/>
  <c r="AE45" i="805"/>
  <c r="AF45" i="805"/>
  <c r="AG45" i="805"/>
  <c r="AH45" i="805"/>
  <c r="AI45" i="805"/>
  <c r="AJ45" i="805"/>
  <c r="AK45" i="805"/>
  <c r="AL45" i="805"/>
  <c r="AM45" i="805"/>
  <c r="AP45" i="805"/>
  <c r="AQ45" i="805"/>
  <c r="AR45" i="805"/>
  <c r="AS45" i="805"/>
  <c r="AT45" i="805" a="1"/>
  <c r="AU45" i="805"/>
  <c r="AV45" i="805"/>
  <c r="AW45" i="805"/>
  <c r="AX45" i="805"/>
  <c r="AY45" i="805"/>
  <c r="Z46" i="805" a="1"/>
  <c r="AA46" i="805"/>
  <c r="AB46" i="805"/>
  <c r="AC46" i="805"/>
  <c r="AD46" i="805"/>
  <c r="AE46" i="805"/>
  <c r="AF46" i="805"/>
  <c r="AG46" i="805"/>
  <c r="AH46" i="805"/>
  <c r="AI46" i="805"/>
  <c r="AJ46" i="805"/>
  <c r="AK46" i="805"/>
  <c r="AL46" i="805"/>
  <c r="AM46" i="805"/>
  <c r="AN46" i="805"/>
  <c r="AQ46" i="805"/>
  <c r="AR46" i="805"/>
  <c r="AS46" i="805"/>
  <c r="AT46" i="805" a="1"/>
  <c r="AU46" i="805"/>
  <c r="AV46" i="805"/>
  <c r="AW46" i="805"/>
  <c r="AX46" i="805"/>
  <c r="AY46" i="805"/>
  <c r="Z47" i="805" a="1"/>
  <c r="AA47" i="805"/>
  <c r="AB47" i="805"/>
  <c r="AC47" i="805"/>
  <c r="AD47" i="805"/>
  <c r="AE47" i="805"/>
  <c r="AF47" i="805"/>
  <c r="AG47" i="805"/>
  <c r="AH47" i="805"/>
  <c r="AI47" i="805"/>
  <c r="AJ47" i="805"/>
  <c r="AK47" i="805"/>
  <c r="AL47" i="805"/>
  <c r="AM47" i="805"/>
  <c r="AN47" i="805"/>
  <c r="AQ47" i="805"/>
  <c r="AR47" i="805"/>
  <c r="AS47" i="805"/>
  <c r="AT47" i="805" a="1"/>
  <c r="AU47" i="805"/>
  <c r="AV47" i="805"/>
  <c r="AW47" i="805"/>
  <c r="AX47" i="805"/>
  <c r="AY47" i="805"/>
  <c r="Z48" i="805" a="1"/>
  <c r="AA48" i="805"/>
  <c r="AB48" i="805"/>
  <c r="AC48" i="805"/>
  <c r="AD48" i="805"/>
  <c r="AE48" i="805"/>
  <c r="AF48" i="805"/>
  <c r="AG48" i="805"/>
  <c r="AH48" i="805"/>
  <c r="AI48" i="805"/>
  <c r="AJ48" i="805"/>
  <c r="AK48" i="805"/>
  <c r="AL48" i="805"/>
  <c r="AM48" i="805"/>
  <c r="AN48" i="805"/>
  <c r="AQ48" i="805"/>
  <c r="AR48" i="805"/>
  <c r="AS48" i="805"/>
  <c r="AT48" i="805" a="1"/>
  <c r="AU48" i="805"/>
  <c r="AV48" i="805"/>
  <c r="AW48" i="805"/>
  <c r="AX48" i="805"/>
  <c r="AY48" i="805"/>
  <c r="Z49" i="805" a="1"/>
  <c r="AA49" i="805"/>
  <c r="AB49" i="805"/>
  <c r="AC49" i="805"/>
  <c r="AD49" i="805"/>
  <c r="AE49" i="805"/>
  <c r="AF49" i="805"/>
  <c r="AG49" i="805"/>
  <c r="AH49" i="805"/>
  <c r="AI49" i="805"/>
  <c r="AJ49" i="805"/>
  <c r="AK49" i="805"/>
  <c r="AL49" i="805"/>
  <c r="AM49" i="805"/>
  <c r="AN49" i="805"/>
  <c r="AQ49" i="805"/>
  <c r="AR49" i="805"/>
  <c r="AS49" i="805"/>
  <c r="AT49" i="805" a="1"/>
  <c r="AU49" i="805"/>
  <c r="AV49" i="805"/>
  <c r="AW49" i="805"/>
  <c r="AX49" i="805"/>
  <c r="AY49" i="805"/>
  <c r="Z50" i="805" a="1"/>
  <c r="AA50" i="805"/>
  <c r="AB50" i="805"/>
  <c r="AC50" i="805"/>
  <c r="AD50" i="805"/>
  <c r="AE50" i="805"/>
  <c r="AF50" i="805"/>
  <c r="AG50" i="805"/>
  <c r="AH50" i="805"/>
  <c r="AI50" i="805"/>
  <c r="AJ50" i="805"/>
  <c r="AK50" i="805"/>
  <c r="AL50" i="805"/>
  <c r="AM50" i="805"/>
  <c r="AN50" i="805"/>
  <c r="AQ50" i="805"/>
  <c r="AR50" i="805"/>
  <c r="AS50" i="805"/>
  <c r="AT50" i="805" a="1"/>
  <c r="AU50" i="805"/>
  <c r="AV50" i="805"/>
  <c r="AW50" i="805"/>
  <c r="AX50" i="805"/>
  <c r="AY50" i="805"/>
  <c r="Z51" i="805" a="1"/>
  <c r="AA51" i="805"/>
  <c r="AB51" i="805"/>
  <c r="AC51" i="805"/>
  <c r="AD51" i="805"/>
  <c r="AE51" i="805"/>
  <c r="AF51" i="805"/>
  <c r="AG51" i="805"/>
  <c r="AH51" i="805"/>
  <c r="AI51" i="805"/>
  <c r="AJ51" i="805"/>
  <c r="AK51" i="805"/>
  <c r="AL51" i="805"/>
  <c r="AM51" i="805"/>
  <c r="AQ51" i="805"/>
  <c r="AR51" i="805"/>
  <c r="AS51" i="805"/>
  <c r="AT51" i="805" a="1"/>
  <c r="AU51" i="805"/>
  <c r="AV51" i="805"/>
  <c r="AW51" i="805"/>
  <c r="AX51" i="805"/>
  <c r="AY51" i="805"/>
  <c r="Z52" i="805" a="1"/>
  <c r="AA52" i="805"/>
  <c r="AB52" i="805"/>
  <c r="AC52" i="805"/>
  <c r="AD52" i="805"/>
  <c r="AE52" i="805"/>
  <c r="AF52" i="805"/>
  <c r="AG52" i="805"/>
  <c r="AH52" i="805"/>
  <c r="AI52" i="805"/>
  <c r="AJ52" i="805"/>
  <c r="AK52" i="805"/>
  <c r="AL52" i="805"/>
  <c r="AM52" i="805"/>
  <c r="AQ52" i="805"/>
  <c r="AR52" i="805"/>
  <c r="AS52" i="805"/>
  <c r="AT52" i="805" a="1"/>
  <c r="AU52" i="805"/>
  <c r="AV52" i="805"/>
  <c r="AW52" i="805"/>
  <c r="AX52" i="805"/>
  <c r="AY52" i="805"/>
  <c r="Z53" i="805" a="1"/>
  <c r="AA53" i="805"/>
  <c r="AB53" i="805"/>
  <c r="AC53" i="805"/>
  <c r="AD53" i="805"/>
  <c r="AE53" i="805"/>
  <c r="AF53" i="805"/>
  <c r="AG53" i="805"/>
  <c r="AH53" i="805"/>
  <c r="AI53" i="805"/>
  <c r="AJ53" i="805"/>
  <c r="AK53" i="805"/>
  <c r="AL53" i="805"/>
  <c r="AM53" i="805"/>
  <c r="AQ53" i="805"/>
  <c r="AR53" i="805"/>
  <c r="AS53" i="805"/>
  <c r="AT53" i="805" a="1"/>
  <c r="AU53" i="805"/>
  <c r="AV53" i="805"/>
  <c r="AW53" i="805"/>
  <c r="AX53" i="805"/>
  <c r="AY53" i="805"/>
  <c r="Z54" i="805" a="1"/>
  <c r="AA54" i="805"/>
  <c r="AB54" i="805"/>
  <c r="AC54" i="805"/>
  <c r="AD54" i="805"/>
  <c r="AE54" i="805"/>
  <c r="AF54" i="805"/>
  <c r="AG54" i="805"/>
  <c r="AH54" i="805"/>
  <c r="AI54" i="805"/>
  <c r="AJ54" i="805"/>
  <c r="AK54" i="805"/>
  <c r="AL54" i="805"/>
  <c r="AM54" i="805"/>
  <c r="AQ54" i="805"/>
  <c r="AR54" i="805"/>
  <c r="AT54" i="805" a="1"/>
  <c r="AU54" i="805"/>
  <c r="AV54" i="805"/>
  <c r="AW54" i="805"/>
  <c r="AX54" i="805"/>
  <c r="AY54" i="805"/>
  <c r="Z55" i="805" a="1"/>
  <c r="AA55" i="805"/>
  <c r="AB55" i="805"/>
  <c r="AC55" i="805"/>
  <c r="AD55" i="805"/>
  <c r="AE55" i="805"/>
  <c r="AF55" i="805"/>
  <c r="AG55" i="805"/>
  <c r="AH55" i="805"/>
  <c r="AI55" i="805"/>
  <c r="AJ55" i="805"/>
  <c r="AK55" i="805"/>
  <c r="AL55" i="805"/>
  <c r="AM55" i="805"/>
  <c r="AQ55" i="805"/>
  <c r="AR55" i="805"/>
  <c r="AS55" i="805"/>
  <c r="AT55" i="805" a="1"/>
  <c r="AU55" i="805"/>
  <c r="AV55" i="805"/>
  <c r="AW55" i="805"/>
  <c r="AX55" i="805"/>
  <c r="AY55" i="805"/>
  <c r="Z56" i="805" a="1"/>
  <c r="AA56" i="805"/>
  <c r="AB56" i="805"/>
  <c r="AC56" i="805"/>
  <c r="AD56" i="805"/>
  <c r="AE56" i="805"/>
  <c r="AF56" i="805"/>
  <c r="AG56" i="805"/>
  <c r="AH56" i="805"/>
  <c r="AI56" i="805"/>
  <c r="AJ56" i="805"/>
  <c r="AK56" i="805"/>
  <c r="AL56" i="805"/>
  <c r="AM56" i="805"/>
  <c r="AN56" i="805"/>
  <c r="AQ56" i="805"/>
  <c r="AR56" i="805"/>
  <c r="AS56" i="805"/>
  <c r="AT56" i="805" a="1"/>
  <c r="AU56" i="805"/>
  <c r="AV56" i="805"/>
  <c r="AW56" i="805"/>
  <c r="AX56" i="805"/>
  <c r="AY56" i="805"/>
  <c r="Z57" i="805" a="1"/>
  <c r="AA57" i="805"/>
  <c r="AB57" i="805"/>
  <c r="AC57" i="805"/>
  <c r="AD57" i="805"/>
  <c r="AE57" i="805"/>
  <c r="AF57" i="805"/>
  <c r="AG57" i="805"/>
  <c r="AH57" i="805"/>
  <c r="AI57" i="805"/>
  <c r="AJ57" i="805"/>
  <c r="AK57" i="805"/>
  <c r="AL57" i="805"/>
  <c r="AM57" i="805"/>
  <c r="AN57" i="805"/>
  <c r="AQ57" i="805"/>
  <c r="AR57" i="805"/>
  <c r="AS57" i="805"/>
  <c r="AT57" i="805" a="1"/>
  <c r="AU57" i="805"/>
  <c r="AV57" i="805"/>
  <c r="AW57" i="805"/>
  <c r="AX57" i="805"/>
  <c r="AY57" i="805"/>
  <c r="Z58" i="805" a="1"/>
  <c r="AA58" i="805"/>
  <c r="AB58" i="805"/>
  <c r="AC58" i="805"/>
  <c r="AD58" i="805"/>
  <c r="AE58" i="805"/>
  <c r="AF58" i="805"/>
  <c r="AG58" i="805"/>
  <c r="AH58" i="805"/>
  <c r="AI58" i="805"/>
  <c r="AJ58" i="805"/>
  <c r="AK58" i="805"/>
  <c r="AL58" i="805"/>
  <c r="AM58" i="805"/>
  <c r="AQ58" i="805"/>
  <c r="AR58" i="805"/>
  <c r="AS58" i="805"/>
  <c r="AT58" i="805" a="1"/>
  <c r="AU58" i="805"/>
  <c r="AV58" i="805"/>
  <c r="AW58" i="805"/>
  <c r="AX58" i="805"/>
  <c r="AY58" i="805"/>
  <c r="Z59" i="805" a="1"/>
  <c r="AA59" i="805"/>
  <c r="AB59" i="805"/>
  <c r="AC59" i="805"/>
  <c r="AD59" i="805"/>
  <c r="AE59" i="805"/>
  <c r="AF59" i="805"/>
  <c r="AG59" i="805"/>
  <c r="AH59" i="805"/>
  <c r="AI59" i="805"/>
  <c r="AJ59" i="805"/>
  <c r="AK59" i="805"/>
  <c r="AL59" i="805"/>
  <c r="AM59" i="805"/>
  <c r="AQ59" i="805"/>
  <c r="AR59" i="805"/>
  <c r="AS59" i="805"/>
  <c r="AT59" i="805" a="1"/>
  <c r="AU59" i="805"/>
  <c r="AV59" i="805"/>
  <c r="AW59" i="805"/>
  <c r="AX59" i="805"/>
  <c r="AY59" i="805"/>
  <c r="Z60" i="805" a="1"/>
  <c r="AA60" i="805"/>
  <c r="AB60" i="805"/>
  <c r="AC60" i="805"/>
  <c r="AD60" i="805"/>
  <c r="AE60" i="805"/>
  <c r="AF60" i="805"/>
  <c r="AG60" i="805"/>
  <c r="AH60" i="805"/>
  <c r="AI60" i="805"/>
  <c r="AJ60" i="805"/>
  <c r="AK60" i="805"/>
  <c r="AL60" i="805"/>
  <c r="AM60" i="805"/>
  <c r="AQ60" i="805"/>
  <c r="AR60" i="805"/>
  <c r="AS60" i="805"/>
  <c r="AT60" i="805" a="1"/>
  <c r="AU60" i="805"/>
  <c r="AV60" i="805"/>
  <c r="AW60" i="805"/>
  <c r="AX60" i="805"/>
  <c r="AY60" i="805"/>
  <c r="Z61" i="805" a="1"/>
  <c r="AA61" i="805"/>
  <c r="AB61" i="805"/>
  <c r="AC61" i="805"/>
  <c r="AD61" i="805"/>
  <c r="AE61" i="805"/>
  <c r="AF61" i="805"/>
  <c r="AG61" i="805"/>
  <c r="AH61" i="805"/>
  <c r="AI61" i="805"/>
  <c r="AJ61" i="805"/>
  <c r="AK61" i="805"/>
  <c r="AL61" i="805"/>
  <c r="AM61" i="805"/>
  <c r="AQ61" i="805"/>
  <c r="AR61" i="805"/>
  <c r="AS61" i="805"/>
  <c r="AT61" i="805" a="1"/>
  <c r="AU61" i="805"/>
  <c r="AV61" i="805"/>
  <c r="AW61" i="805"/>
  <c r="AX61" i="805"/>
  <c r="AY61" i="805"/>
  <c r="Z62" i="805" a="1"/>
  <c r="AA62" i="805"/>
  <c r="AB62" i="805"/>
  <c r="AC62" i="805"/>
  <c r="AD62" i="805"/>
  <c r="AE62" i="805"/>
  <c r="AF62" i="805"/>
  <c r="AG62" i="805"/>
  <c r="AH62" i="805"/>
  <c r="AI62" i="805"/>
  <c r="AJ62" i="805"/>
  <c r="AK62" i="805"/>
  <c r="AL62" i="805"/>
  <c r="AM62" i="805"/>
  <c r="AQ62" i="805"/>
  <c r="AR62" i="805"/>
  <c r="AS62" i="805"/>
  <c r="AT62" i="805" a="1"/>
  <c r="AU62" i="805"/>
  <c r="AV62" i="805"/>
  <c r="AW62" i="805"/>
  <c r="AX62" i="805"/>
  <c r="AY62" i="805"/>
  <c r="Z63" i="805" a="1"/>
  <c r="AA63" i="805"/>
  <c r="AB63" i="805"/>
  <c r="AC63" i="805"/>
  <c r="AD63" i="805"/>
  <c r="AE63" i="805"/>
  <c r="AF63" i="805"/>
  <c r="AG63" i="805"/>
  <c r="AH63" i="805"/>
  <c r="AI63" i="805"/>
  <c r="AJ63" i="805"/>
  <c r="AK63" i="805"/>
  <c r="AL63" i="805"/>
  <c r="AM63" i="805"/>
  <c r="AQ63" i="805"/>
  <c r="AR63" i="805"/>
  <c r="AS63" i="805"/>
  <c r="AT63" i="805" a="1"/>
  <c r="AU63" i="805"/>
  <c r="AV63" i="805"/>
  <c r="AW63" i="805"/>
  <c r="AX63" i="805"/>
  <c r="AY63" i="805"/>
  <c r="Z64" i="805" a="1"/>
  <c r="AA64" i="805"/>
  <c r="AB64" i="805"/>
  <c r="AC64" i="805"/>
  <c r="AD64" i="805"/>
  <c r="AE64" i="805"/>
  <c r="AF64" i="805"/>
  <c r="AG64" i="805"/>
  <c r="AH64" i="805"/>
  <c r="AI64" i="805"/>
  <c r="AJ64" i="805"/>
  <c r="AK64" i="805"/>
  <c r="AL64" i="805"/>
  <c r="AM64" i="805"/>
  <c r="AQ64" i="805"/>
  <c r="AR64" i="805"/>
  <c r="AS64" i="805"/>
  <c r="AT64" i="805" a="1"/>
  <c r="AU64" i="805"/>
  <c r="AV64" i="805"/>
  <c r="AW64" i="805"/>
  <c r="AX64" i="805"/>
  <c r="AY64" i="805"/>
  <c r="Z65" i="805" a="1"/>
  <c r="AA65" i="805"/>
  <c r="AB65" i="805"/>
  <c r="AC65" i="805"/>
  <c r="AD65" i="805"/>
  <c r="AE65" i="805"/>
  <c r="AF65" i="805"/>
  <c r="AG65" i="805"/>
  <c r="AH65" i="805"/>
  <c r="AI65" i="805"/>
  <c r="AJ65" i="805"/>
  <c r="AK65" i="805"/>
  <c r="AL65" i="805"/>
  <c r="AM65" i="805"/>
  <c r="AQ65" i="805"/>
  <c r="AR65" i="805"/>
  <c r="AS65" i="805"/>
  <c r="AT65" i="805" a="1"/>
  <c r="AU65" i="805"/>
  <c r="AV65" i="805"/>
  <c r="AW65" i="805"/>
  <c r="AX65" i="805"/>
  <c r="AY65" i="805"/>
  <c r="Z66" i="805" a="1"/>
  <c r="AA66" i="805"/>
  <c r="AB66" i="805"/>
  <c r="AC66" i="805"/>
  <c r="AD66" i="805"/>
  <c r="AE66" i="805"/>
  <c r="AF66" i="805"/>
  <c r="AG66" i="805"/>
  <c r="AH66" i="805"/>
  <c r="AI66" i="805"/>
  <c r="AJ66" i="805"/>
  <c r="AK66" i="805"/>
  <c r="AL66" i="805"/>
  <c r="AM66" i="805"/>
  <c r="AQ66" i="805"/>
  <c r="AR66" i="805"/>
  <c r="AS66" i="805"/>
  <c r="AT66" i="805" a="1"/>
  <c r="AU66" i="805"/>
  <c r="AV66" i="805"/>
  <c r="AW66" i="805"/>
  <c r="AX66" i="805"/>
  <c r="AY66" i="805"/>
  <c r="Z67" i="805" a="1"/>
  <c r="AA67" i="805"/>
  <c r="AB67" i="805"/>
  <c r="AC67" i="805"/>
  <c r="AD67" i="805"/>
  <c r="AE67" i="805"/>
  <c r="AF67" i="805"/>
  <c r="AG67" i="805"/>
  <c r="AH67" i="805"/>
  <c r="AI67" i="805"/>
  <c r="AJ67" i="805"/>
  <c r="AK67" i="805"/>
  <c r="AL67" i="805"/>
  <c r="AM67" i="805"/>
  <c r="AQ67" i="805"/>
  <c r="AR67" i="805"/>
  <c r="AS67" i="805"/>
  <c r="AT67" i="805" a="1"/>
  <c r="AU67" i="805"/>
  <c r="AV67" i="805"/>
  <c r="AW67" i="805"/>
  <c r="AX67" i="805"/>
  <c r="AY67" i="805"/>
  <c r="Z68" i="805" a="1"/>
  <c r="AA68" i="805"/>
  <c r="AB68" i="805"/>
  <c r="AC68" i="805"/>
  <c r="AD68" i="805"/>
  <c r="AE68" i="805"/>
  <c r="AF68" i="805"/>
  <c r="AG68" i="805"/>
  <c r="AH68" i="805"/>
  <c r="AI68" i="805"/>
  <c r="AJ68" i="805"/>
  <c r="AK68" i="805"/>
  <c r="AL68" i="805"/>
  <c r="AM68" i="805"/>
  <c r="AQ68" i="805"/>
  <c r="AR68" i="805"/>
  <c r="AS68" i="805"/>
  <c r="AT68" i="805" a="1"/>
  <c r="AU68" i="805"/>
  <c r="AV68" i="805"/>
  <c r="AW68" i="805"/>
  <c r="AX68" i="805"/>
  <c r="AY68" i="805"/>
  <c r="Z69" i="805" a="1"/>
  <c r="AA69" i="805"/>
  <c r="AB69" i="805"/>
  <c r="AC69" i="805"/>
  <c r="AD69" i="805"/>
  <c r="AE69" i="805"/>
  <c r="AF69" i="805"/>
  <c r="AG69" i="805"/>
  <c r="AH69" i="805"/>
  <c r="AI69" i="805"/>
  <c r="AJ69" i="805"/>
  <c r="AK69" i="805"/>
  <c r="AL69" i="805"/>
  <c r="AM69" i="805"/>
  <c r="AQ69" i="805"/>
  <c r="AR69" i="805"/>
  <c r="AS69" i="805"/>
  <c r="AT69" i="805" a="1"/>
  <c r="AU69" i="805"/>
  <c r="AV69" i="805"/>
  <c r="AW69" i="805"/>
  <c r="AX69" i="805"/>
  <c r="AY69" i="805"/>
  <c r="Z70" i="805" a="1"/>
  <c r="AA70" i="805"/>
  <c r="AB70" i="805"/>
  <c r="AC70" i="805"/>
  <c r="AD70" i="805"/>
  <c r="AE70" i="805"/>
  <c r="AF70" i="805"/>
  <c r="AG70" i="805"/>
  <c r="AH70" i="805"/>
  <c r="AI70" i="805"/>
  <c r="AJ70" i="805"/>
  <c r="AK70" i="805"/>
  <c r="AL70" i="805"/>
  <c r="AM70" i="805"/>
  <c r="AQ70" i="805"/>
  <c r="AR70" i="805"/>
  <c r="AS70" i="805"/>
  <c r="AT70" i="805" a="1"/>
  <c r="AU70" i="805"/>
  <c r="AV70" i="805"/>
  <c r="AW70" i="805"/>
  <c r="AX70" i="805"/>
  <c r="AY70" i="805"/>
  <c r="Z71" i="805" a="1"/>
  <c r="AA71" i="805"/>
  <c r="AB71" i="805"/>
  <c r="AC71" i="805"/>
  <c r="AD71" i="805"/>
  <c r="AE71" i="805"/>
  <c r="AF71" i="805"/>
  <c r="AG71" i="805"/>
  <c r="AH71" i="805"/>
  <c r="AI71" i="805"/>
  <c r="AJ71" i="805"/>
  <c r="AK71" i="805"/>
  <c r="AL71" i="805"/>
  <c r="AM71" i="805"/>
  <c r="AN71" i="805"/>
  <c r="AQ71" i="805"/>
  <c r="AR71" i="805"/>
  <c r="AS71" i="805"/>
  <c r="AT71" i="805" a="1"/>
  <c r="AU71" i="805"/>
  <c r="AV71" i="805"/>
  <c r="AW71" i="805"/>
  <c r="AX71" i="805"/>
  <c r="AY71" i="805"/>
  <c r="Z72" i="805" a="1"/>
  <c r="AA72" i="805"/>
  <c r="AB72" i="805"/>
  <c r="AC72" i="805"/>
  <c r="AD72" i="805"/>
  <c r="AE72" i="805"/>
  <c r="AF72" i="805"/>
  <c r="AG72" i="805"/>
  <c r="AH72" i="805"/>
  <c r="AI72" i="805"/>
  <c r="AJ72" i="805"/>
  <c r="AK72" i="805"/>
  <c r="AL72" i="805"/>
  <c r="AM72" i="805"/>
  <c r="AQ72" i="805"/>
  <c r="AR72" i="805"/>
  <c r="AS72" i="805"/>
  <c r="AT72" i="805" a="1"/>
  <c r="AU72" i="805"/>
  <c r="AV72" i="805"/>
  <c r="AW72" i="805"/>
  <c r="AX72" i="805"/>
  <c r="AY72" i="805"/>
  <c r="Z73" i="805" a="1"/>
  <c r="AA73" i="805"/>
  <c r="AB73" i="805"/>
  <c r="AC73" i="805"/>
  <c r="AD73" i="805"/>
  <c r="AE73" i="805"/>
  <c r="AF73" i="805"/>
  <c r="AG73" i="805"/>
  <c r="AH73" i="805"/>
  <c r="AI73" i="805"/>
  <c r="AJ73" i="805"/>
  <c r="AK73" i="805"/>
  <c r="AL73" i="805"/>
  <c r="AM73" i="805"/>
  <c r="AQ73" i="805"/>
  <c r="AR73" i="805"/>
  <c r="AS73" i="805"/>
  <c r="AT73" i="805" a="1"/>
  <c r="AU73" i="805"/>
  <c r="AV73" i="805"/>
  <c r="AW73" i="805"/>
  <c r="AX73" i="805"/>
  <c r="AY73" i="805"/>
  <c r="Z74" i="805" a="1"/>
  <c r="AA74" i="805"/>
  <c r="AB74" i="805"/>
  <c r="AC74" i="805"/>
  <c r="AD74" i="805"/>
  <c r="AE74" i="805"/>
  <c r="AF74" i="805"/>
  <c r="AG74" i="805"/>
  <c r="AH74" i="805"/>
  <c r="AI74" i="805"/>
  <c r="AJ74" i="805"/>
  <c r="AK74" i="805"/>
  <c r="AL74" i="805"/>
  <c r="AM74" i="805"/>
  <c r="AQ74" i="805"/>
  <c r="AR74" i="805"/>
  <c r="AS74" i="805"/>
  <c r="AT74" i="805" a="1"/>
  <c r="AU74" i="805"/>
  <c r="AV74" i="805"/>
  <c r="AW74" i="805"/>
  <c r="AX74" i="805"/>
  <c r="AY74" i="805"/>
  <c r="Z75" i="805" a="1"/>
  <c r="AA75" i="805"/>
  <c r="AB75" i="805"/>
  <c r="AC75" i="805"/>
  <c r="AD75" i="805"/>
  <c r="AE75" i="805"/>
  <c r="AF75" i="805"/>
  <c r="AG75" i="805"/>
  <c r="AH75" i="805"/>
  <c r="AI75" i="805"/>
  <c r="AJ75" i="805"/>
  <c r="AK75" i="805"/>
  <c r="AL75" i="805"/>
  <c r="AM75" i="805"/>
  <c r="AQ75" i="805"/>
  <c r="AR75" i="805"/>
  <c r="AS75" i="805"/>
  <c r="AT75" i="805" a="1"/>
  <c r="AU75" i="805"/>
  <c r="AV75" i="805"/>
  <c r="AW75" i="805"/>
  <c r="AX75" i="805"/>
  <c r="AY75" i="805"/>
  <c r="Z76" i="805" a="1"/>
  <c r="AA76" i="805"/>
  <c r="AB76" i="805"/>
  <c r="AC76" i="805"/>
  <c r="AD76" i="805"/>
  <c r="AE76" i="805"/>
  <c r="AF76" i="805"/>
  <c r="AG76" i="805"/>
  <c r="AH76" i="805"/>
  <c r="AI76" i="805"/>
  <c r="AJ76" i="805"/>
  <c r="AK76" i="805"/>
  <c r="AL76" i="805"/>
  <c r="AM76" i="805"/>
  <c r="AN76" i="805"/>
  <c r="AQ76" i="805"/>
  <c r="AR76" i="805"/>
  <c r="AS76" i="805"/>
  <c r="AT76" i="805" a="1"/>
  <c r="AU76" i="805"/>
  <c r="AV76" i="805"/>
  <c r="AW76" i="805"/>
  <c r="AX76" i="805"/>
  <c r="AY76" i="805"/>
  <c r="Z77" i="805" a="1"/>
  <c r="AA77" i="805"/>
  <c r="AB77" i="805"/>
  <c r="AC77" i="805"/>
  <c r="AD77" i="805"/>
  <c r="AE77" i="805"/>
  <c r="AF77" i="805"/>
  <c r="AG77" i="805"/>
  <c r="AH77" i="805"/>
  <c r="AI77" i="805"/>
  <c r="AJ77" i="805"/>
  <c r="AK77" i="805"/>
  <c r="AL77" i="805"/>
  <c r="AM77" i="805"/>
  <c r="AQ77" i="805"/>
  <c r="AR77" i="805"/>
  <c r="AS77" i="805"/>
  <c r="AT77" i="805" a="1"/>
  <c r="AU77" i="805"/>
  <c r="AV77" i="805"/>
  <c r="AW77" i="805"/>
  <c r="AX77" i="805"/>
  <c r="AY77" i="805"/>
  <c r="Z78" i="805" a="1"/>
  <c r="AA78" i="805"/>
  <c r="AB78" i="805"/>
  <c r="AC78" i="805"/>
  <c r="AD78" i="805"/>
  <c r="AE78" i="805"/>
  <c r="AF78" i="805"/>
  <c r="AG78" i="805"/>
  <c r="AH78" i="805"/>
  <c r="AI78" i="805"/>
  <c r="AJ78" i="805"/>
  <c r="AK78" i="805"/>
  <c r="AL78" i="805"/>
  <c r="AM78" i="805"/>
  <c r="AQ78" i="805"/>
  <c r="AR78" i="805"/>
  <c r="AS78" i="805"/>
  <c r="AT78" i="805" a="1"/>
  <c r="AU78" i="805"/>
  <c r="AV78" i="805"/>
  <c r="AW78" i="805"/>
  <c r="AX78" i="805"/>
  <c r="AY78" i="805"/>
  <c r="Z79" i="805" a="1"/>
  <c r="AA79" i="805"/>
  <c r="AB79" i="805"/>
  <c r="AC79" i="805"/>
  <c r="AD79" i="805"/>
  <c r="AE79" i="805"/>
  <c r="AF79" i="805"/>
  <c r="AG79" i="805"/>
  <c r="AH79" i="805"/>
  <c r="AI79" i="805"/>
  <c r="AJ79" i="805"/>
  <c r="AK79" i="805"/>
  <c r="AL79" i="805"/>
  <c r="AM79" i="805"/>
  <c r="AQ79" i="805"/>
  <c r="AR79" i="805"/>
  <c r="AS79" i="805"/>
  <c r="AT79" i="805" a="1"/>
  <c r="AU79" i="805"/>
  <c r="AV79" i="805"/>
  <c r="AW79" i="805"/>
  <c r="AX79" i="805"/>
  <c r="AY79" i="805"/>
  <c r="Z80" i="805" a="1"/>
  <c r="AA80" i="805"/>
  <c r="AB80" i="805"/>
  <c r="AC80" i="805"/>
  <c r="AD80" i="805"/>
  <c r="AE80" i="805"/>
  <c r="AF80" i="805"/>
  <c r="AG80" i="805"/>
  <c r="AH80" i="805"/>
  <c r="AI80" i="805"/>
  <c r="AJ80" i="805"/>
  <c r="AK80" i="805"/>
  <c r="AL80" i="805"/>
  <c r="AM80" i="805"/>
  <c r="AN80" i="805"/>
  <c r="AQ80" i="805"/>
  <c r="AR80" i="805"/>
  <c r="AS80" i="805"/>
  <c r="AT80" i="805" a="1"/>
  <c r="AU80" i="805"/>
  <c r="AV80" i="805"/>
  <c r="AW80" i="805"/>
  <c r="AX80" i="805"/>
  <c r="AY80" i="805"/>
  <c r="Z81" i="805" a="1"/>
  <c r="AA81" i="805"/>
  <c r="AB81" i="805"/>
  <c r="AC81" i="805"/>
  <c r="AD81" i="805"/>
  <c r="AE81" i="805"/>
  <c r="AF81" i="805"/>
  <c r="AG81" i="805"/>
  <c r="AH81" i="805"/>
  <c r="AI81" i="805"/>
  <c r="AJ81" i="805"/>
  <c r="AK81" i="805"/>
  <c r="AL81" i="805"/>
  <c r="AM81" i="805"/>
  <c r="AQ81" i="805"/>
  <c r="AR81" i="805"/>
  <c r="AS81" i="805"/>
  <c r="AT81" i="805" a="1"/>
  <c r="AU81" i="805"/>
  <c r="AV81" i="805"/>
  <c r="AW81" i="805"/>
  <c r="AX81" i="805"/>
  <c r="AY81" i="805"/>
  <c r="Z82" i="805" a="1"/>
  <c r="AA82" i="805"/>
  <c r="AB82" i="805"/>
  <c r="AC82" i="805"/>
  <c r="AD82" i="805"/>
  <c r="AE82" i="805"/>
  <c r="AF82" i="805"/>
  <c r="AG82" i="805"/>
  <c r="AH82" i="805"/>
  <c r="AI82" i="805"/>
  <c r="AJ82" i="805"/>
  <c r="AK82" i="805"/>
  <c r="AL82" i="805"/>
  <c r="AM82" i="805"/>
  <c r="AQ82" i="805"/>
  <c r="AR82" i="805"/>
  <c r="AT82" i="805" a="1"/>
  <c r="AU82" i="805"/>
  <c r="AV82" i="805"/>
  <c r="AW82" i="805"/>
  <c r="AX82" i="805"/>
  <c r="AY82" i="805"/>
  <c r="Z83" i="805" a="1"/>
  <c r="AA83" i="805"/>
  <c r="AB83" i="805"/>
  <c r="AC83" i="805"/>
  <c r="AD83" i="805"/>
  <c r="AE83" i="805"/>
  <c r="AF83" i="805"/>
  <c r="AG83" i="805"/>
  <c r="AH83" i="805"/>
  <c r="AI83" i="805"/>
  <c r="AJ83" i="805"/>
  <c r="AK83" i="805"/>
  <c r="AL83" i="805"/>
  <c r="AM83" i="805"/>
  <c r="AN83" i="805"/>
  <c r="AQ83" i="805"/>
  <c r="AR83" i="805"/>
  <c r="AS83" i="805"/>
  <c r="AT83" i="805" a="1"/>
  <c r="AU83" i="805"/>
  <c r="AV83" i="805"/>
  <c r="AW83" i="805"/>
  <c r="AX83" i="805"/>
  <c r="AY83" i="805"/>
  <c r="Z84" i="805" a="1"/>
  <c r="AA84" i="805"/>
  <c r="AB84" i="805"/>
  <c r="AC84" i="805"/>
  <c r="AD84" i="805"/>
  <c r="AE84" i="805"/>
  <c r="AF84" i="805"/>
  <c r="AG84" i="805"/>
  <c r="AH84" i="805"/>
  <c r="AI84" i="805"/>
  <c r="AJ84" i="805"/>
  <c r="AK84" i="805"/>
  <c r="AL84" i="805"/>
  <c r="AM84" i="805"/>
  <c r="AN84" i="805"/>
  <c r="AQ84" i="805"/>
  <c r="AR84" i="805"/>
  <c r="AS84" i="805"/>
  <c r="AT84" i="805" a="1"/>
  <c r="AU84" i="805"/>
  <c r="AV84" i="805"/>
  <c r="AW84" i="805"/>
  <c r="AX84" i="805"/>
  <c r="AY84" i="805"/>
  <c r="Z85" i="805" a="1"/>
  <c r="AA85" i="805"/>
  <c r="AB85" i="805"/>
  <c r="AC85" i="805"/>
  <c r="AD85" i="805"/>
  <c r="AE85" i="805"/>
  <c r="AF85" i="805"/>
  <c r="AG85" i="805"/>
  <c r="AH85" i="805"/>
  <c r="AI85" i="805"/>
  <c r="AJ85" i="805"/>
  <c r="AK85" i="805"/>
  <c r="AL85" i="805"/>
  <c r="AM85" i="805"/>
  <c r="AN85" i="805"/>
  <c r="AQ85" i="805"/>
  <c r="AR85" i="805"/>
  <c r="AS85" i="805"/>
  <c r="AT85" i="805" a="1"/>
  <c r="AU85" i="805"/>
  <c r="AV85" i="805"/>
  <c r="AW85" i="805"/>
  <c r="AX85" i="805"/>
  <c r="AY85" i="805"/>
  <c r="Z86" i="805" a="1"/>
  <c r="AA86" i="805"/>
  <c r="AB86" i="805"/>
  <c r="AC86" i="805"/>
  <c r="AD86" i="805"/>
  <c r="AE86" i="805"/>
  <c r="AF86" i="805"/>
  <c r="AG86" i="805"/>
  <c r="AH86" i="805"/>
  <c r="AI86" i="805"/>
  <c r="AJ86" i="805"/>
  <c r="AK86" i="805"/>
  <c r="AL86" i="805"/>
  <c r="AM86" i="805"/>
  <c r="AN86" i="805"/>
  <c r="AQ86" i="805"/>
  <c r="AR86" i="805"/>
  <c r="AS86" i="805"/>
  <c r="AT86" i="805" a="1"/>
  <c r="AU86" i="805"/>
  <c r="AV86" i="805"/>
  <c r="AW86" i="805"/>
  <c r="AX86" i="805"/>
  <c r="AY86" i="805"/>
  <c r="Z87" i="805" a="1"/>
  <c r="AA87" i="805"/>
  <c r="AB87" i="805"/>
  <c r="AC87" i="805"/>
  <c r="AD87" i="805"/>
  <c r="AE87" i="805"/>
  <c r="AF87" i="805"/>
  <c r="AG87" i="805"/>
  <c r="AH87" i="805"/>
  <c r="AI87" i="805"/>
  <c r="AJ87" i="805"/>
  <c r="AK87" i="805"/>
  <c r="AL87" i="805"/>
  <c r="AM87" i="805"/>
  <c r="AN87" i="805"/>
  <c r="AQ87" i="805"/>
  <c r="AR87" i="805"/>
  <c r="AS87" i="805"/>
  <c r="AT87" i="805" a="1"/>
  <c r="AU87" i="805"/>
  <c r="AV87" i="805"/>
  <c r="AW87" i="805"/>
  <c r="AX87" i="805"/>
  <c r="AY87" i="805"/>
  <c r="AV8" i="805"/>
  <c r="AU8" i="805"/>
  <c r="AK8" i="805"/>
  <c r="AJ8" i="805"/>
  <c r="AH8" i="805"/>
  <c r="AL8" i="805"/>
  <c r="AI8" i="805"/>
  <c r="AG8" i="825"/>
  <c r="F7" i="229"/>
  <c r="Z9" i="825" a="1"/>
  <c r="AA9" i="825"/>
  <c r="AB9" i="825"/>
  <c r="AC9" i="825"/>
  <c r="AD9" i="825"/>
  <c r="AE9" i="825"/>
  <c r="AF9" i="825"/>
  <c r="AG9" i="825"/>
  <c r="AH9" i="825"/>
  <c r="AI9" i="825"/>
  <c r="AJ9" i="825"/>
  <c r="AK9" i="825"/>
  <c r="AL9" i="825"/>
  <c r="AO9" i="825"/>
  <c r="AP9" i="825"/>
  <c r="AQ9" i="825" a="1"/>
  <c r="AR9" i="825"/>
  <c r="AS9" i="825"/>
  <c r="Z10" i="825" a="1"/>
  <c r="AA10" i="825"/>
  <c r="AB10" i="825"/>
  <c r="AC10" i="825"/>
  <c r="AD10" i="825"/>
  <c r="AE10" i="825"/>
  <c r="AF10" i="825"/>
  <c r="AG10" i="825"/>
  <c r="AH10" i="825"/>
  <c r="AI10" i="825"/>
  <c r="AJ10" i="825"/>
  <c r="AK10" i="825"/>
  <c r="AL10" i="825"/>
  <c r="AO10" i="825"/>
  <c r="AP10" i="825"/>
  <c r="AQ10" i="825" a="1"/>
  <c r="AR10" i="825"/>
  <c r="AS10" i="825"/>
  <c r="Z11" i="825" a="1"/>
  <c r="AA11" i="825"/>
  <c r="AB11" i="825"/>
  <c r="AC11" i="825"/>
  <c r="AD11" i="825"/>
  <c r="AE11" i="825"/>
  <c r="AF11" i="825"/>
  <c r="AG11" i="825"/>
  <c r="AH11" i="825"/>
  <c r="AI11" i="825"/>
  <c r="AJ11" i="825"/>
  <c r="AK11" i="825"/>
  <c r="AL11" i="825"/>
  <c r="AO11" i="825"/>
  <c r="AP11" i="825"/>
  <c r="AQ11" i="825" a="1"/>
  <c r="AR11" i="825"/>
  <c r="AS11" i="825"/>
  <c r="Z12" i="825" a="1"/>
  <c r="AA12" i="825"/>
  <c r="AB12" i="825"/>
  <c r="AC12" i="825"/>
  <c r="AD12" i="825"/>
  <c r="AE12" i="825"/>
  <c r="AF12" i="825"/>
  <c r="AG12" i="825"/>
  <c r="AH12" i="825"/>
  <c r="AI12" i="825"/>
  <c r="AJ12" i="825"/>
  <c r="AK12" i="825"/>
  <c r="AL12" i="825"/>
  <c r="AO12" i="825"/>
  <c r="AP12" i="825"/>
  <c r="AQ12" i="825" a="1"/>
  <c r="AR12" i="825"/>
  <c r="AS12" i="825"/>
  <c r="Z13" i="825" a="1"/>
  <c r="AA13" i="825"/>
  <c r="AB13" i="825"/>
  <c r="AC13" i="825"/>
  <c r="AD13" i="825"/>
  <c r="AE13" i="825"/>
  <c r="AF13" i="825"/>
  <c r="AG13" i="825"/>
  <c r="AH13" i="825"/>
  <c r="AI13" i="825"/>
  <c r="AJ13" i="825"/>
  <c r="AK13" i="825"/>
  <c r="AL13" i="825"/>
  <c r="AO13" i="825"/>
  <c r="AP13" i="825"/>
  <c r="AQ13" i="825" a="1"/>
  <c r="AR13" i="825"/>
  <c r="AS13" i="825"/>
  <c r="Z14" i="825" a="1"/>
  <c r="AA14" i="825"/>
  <c r="AB14" i="825"/>
  <c r="AC14" i="825"/>
  <c r="AD14" i="825"/>
  <c r="AE14" i="825"/>
  <c r="AF14" i="825"/>
  <c r="AG14" i="825"/>
  <c r="AH14" i="825"/>
  <c r="AI14" i="825"/>
  <c r="AJ14" i="825"/>
  <c r="AK14" i="825"/>
  <c r="AO14" i="825"/>
  <c r="AP14" i="825"/>
  <c r="AQ14" i="825" a="1"/>
  <c r="AR14" i="825"/>
  <c r="AS14" i="825"/>
  <c r="Z15" i="825" a="1"/>
  <c r="AA15" i="825"/>
  <c r="AB15" i="825"/>
  <c r="AC15" i="825"/>
  <c r="AD15" i="825"/>
  <c r="AE15" i="825"/>
  <c r="AF15" i="825"/>
  <c r="AG15" i="825"/>
  <c r="AH15" i="825"/>
  <c r="AI15" i="825"/>
  <c r="AJ15" i="825"/>
  <c r="AK15" i="825"/>
  <c r="AL15" i="825"/>
  <c r="AO15" i="825"/>
  <c r="AP15" i="825"/>
  <c r="AQ15" i="825" a="1"/>
  <c r="AR15" i="825"/>
  <c r="AS15" i="825"/>
  <c r="Z16" i="825" a="1"/>
  <c r="AA16" i="825"/>
  <c r="AB16" i="825"/>
  <c r="AC16" i="825"/>
  <c r="AD16" i="825"/>
  <c r="AE16" i="825"/>
  <c r="AF16" i="825"/>
  <c r="AG16" i="825"/>
  <c r="AH16" i="825"/>
  <c r="AI16" i="825"/>
  <c r="AJ16" i="825"/>
  <c r="AK16" i="825"/>
  <c r="AO16" i="825"/>
  <c r="AP16" i="825"/>
  <c r="AQ16" i="825" a="1"/>
  <c r="AR16" i="825"/>
  <c r="AS16" i="825"/>
  <c r="Z17" i="825" a="1"/>
  <c r="AA17" i="825"/>
  <c r="AB17" i="825"/>
  <c r="AC17" i="825"/>
  <c r="AD17" i="825"/>
  <c r="AE17" i="825"/>
  <c r="AF17" i="825"/>
  <c r="AG17" i="825"/>
  <c r="AH17" i="825"/>
  <c r="AI17" i="825"/>
  <c r="AJ17" i="825"/>
  <c r="AK17" i="825"/>
  <c r="AO17" i="825"/>
  <c r="AP17" i="825"/>
  <c r="AQ17" i="825" a="1"/>
  <c r="AR17" i="825"/>
  <c r="AS17" i="825"/>
  <c r="Z18" i="825" a="1"/>
  <c r="AA18" i="825"/>
  <c r="AB18" i="825"/>
  <c r="AC18" i="825"/>
  <c r="AD18" i="825"/>
  <c r="AE18" i="825"/>
  <c r="AF18" i="825"/>
  <c r="AG18" i="825"/>
  <c r="AH18" i="825"/>
  <c r="AI18" i="825"/>
  <c r="AJ18" i="825"/>
  <c r="AK18" i="825"/>
  <c r="AO18" i="825"/>
  <c r="AP18" i="825"/>
  <c r="AQ18" i="825" a="1"/>
  <c r="AR18" i="825"/>
  <c r="AS18" i="825"/>
  <c r="Z19" i="825" a="1"/>
  <c r="AA19" i="825"/>
  <c r="AB19" i="825"/>
  <c r="AC19" i="825"/>
  <c r="AD19" i="825"/>
  <c r="AE19" i="825"/>
  <c r="AF19" i="825"/>
  <c r="AG19" i="825"/>
  <c r="AH19" i="825"/>
  <c r="AI19" i="825"/>
  <c r="AJ19" i="825"/>
  <c r="AK19" i="825"/>
  <c r="AL19" i="825"/>
  <c r="AO19" i="825"/>
  <c r="AP19" i="825"/>
  <c r="AQ19" i="825" a="1"/>
  <c r="AR19" i="825"/>
  <c r="AS19" i="825"/>
  <c r="Z20" i="825" a="1"/>
  <c r="AA20" i="825"/>
  <c r="AB20" i="825"/>
  <c r="AC20" i="825"/>
  <c r="AD20" i="825"/>
  <c r="AE20" i="825"/>
  <c r="AF20" i="825"/>
  <c r="AG20" i="825"/>
  <c r="AH20" i="825"/>
  <c r="AI20" i="825"/>
  <c r="AJ20" i="825"/>
  <c r="AK20" i="825"/>
  <c r="AO20" i="825"/>
  <c r="AP20" i="825"/>
  <c r="AQ20" i="825" a="1"/>
  <c r="AR20" i="825"/>
  <c r="AS20" i="825"/>
  <c r="Z21" i="825" a="1"/>
  <c r="AA21" i="825"/>
  <c r="AB21" i="825"/>
  <c r="AC21" i="825"/>
  <c r="AD21" i="825"/>
  <c r="AE21" i="825"/>
  <c r="AF21" i="825"/>
  <c r="AG21" i="825"/>
  <c r="AH21" i="825"/>
  <c r="AI21" i="825"/>
  <c r="AJ21" i="825"/>
  <c r="AK21" i="825"/>
  <c r="AL21" i="825"/>
  <c r="AO21" i="825"/>
  <c r="AP21" i="825"/>
  <c r="AQ21" i="825" a="1"/>
  <c r="AR21" i="825"/>
  <c r="AS21" i="825"/>
  <c r="Z22" i="825" a="1"/>
  <c r="AA22" i="825"/>
  <c r="AB22" i="825"/>
  <c r="AC22" i="825"/>
  <c r="AD22" i="825"/>
  <c r="AE22" i="825"/>
  <c r="AF22" i="825"/>
  <c r="AG22" i="825"/>
  <c r="AH22" i="825"/>
  <c r="AI22" i="825"/>
  <c r="AJ22" i="825"/>
  <c r="AK22" i="825"/>
  <c r="AO22" i="825"/>
  <c r="AP22" i="825"/>
  <c r="AQ22" i="825" a="1"/>
  <c r="AR22" i="825"/>
  <c r="AS22" i="825"/>
  <c r="Z23" i="825" a="1"/>
  <c r="AA23" i="825"/>
  <c r="AB23" i="825"/>
  <c r="AC23" i="825"/>
  <c r="AD23" i="825"/>
  <c r="AE23" i="825"/>
  <c r="AF23" i="825"/>
  <c r="AG23" i="825"/>
  <c r="AH23" i="825"/>
  <c r="AI23" i="825"/>
  <c r="AJ23" i="825"/>
  <c r="AK23" i="825"/>
  <c r="AO23" i="825"/>
  <c r="AP23" i="825"/>
  <c r="AQ23" i="825" a="1"/>
  <c r="AR23" i="825"/>
  <c r="AS23" i="825"/>
  <c r="Z24" i="825" a="1"/>
  <c r="AA24" i="825"/>
  <c r="AB24" i="825"/>
  <c r="AC24" i="825"/>
  <c r="AD24" i="825"/>
  <c r="AE24" i="825"/>
  <c r="AF24" i="825"/>
  <c r="AG24" i="825"/>
  <c r="AH24" i="825"/>
  <c r="AI24" i="825"/>
  <c r="AJ24" i="825"/>
  <c r="AK24" i="825"/>
  <c r="AO24" i="825"/>
  <c r="AP24" i="825"/>
  <c r="AQ24" i="825" a="1"/>
  <c r="AR24" i="825"/>
  <c r="AS24" i="825"/>
  <c r="Z25" i="825" a="1"/>
  <c r="AA25" i="825"/>
  <c r="AB25" i="825"/>
  <c r="AC25" i="825"/>
  <c r="AD25" i="825"/>
  <c r="AE25" i="825"/>
  <c r="AF25" i="825"/>
  <c r="AG25" i="825"/>
  <c r="AH25" i="825"/>
  <c r="AI25" i="825"/>
  <c r="AJ25" i="825"/>
  <c r="AK25" i="825"/>
  <c r="AO25" i="825"/>
  <c r="AP25" i="825"/>
  <c r="AQ25" i="825" a="1"/>
  <c r="AR25" i="825"/>
  <c r="AS25" i="825"/>
  <c r="Z26" i="825" a="1"/>
  <c r="AA26" i="825"/>
  <c r="AB26" i="825"/>
  <c r="AC26" i="825"/>
  <c r="AD26" i="825"/>
  <c r="AE26" i="825"/>
  <c r="AF26" i="825"/>
  <c r="AG26" i="825"/>
  <c r="AH26" i="825"/>
  <c r="AI26" i="825"/>
  <c r="AJ26" i="825"/>
  <c r="AK26" i="825"/>
  <c r="AO26" i="825"/>
  <c r="AP26" i="825"/>
  <c r="AQ26" i="825" a="1"/>
  <c r="AR26" i="825"/>
  <c r="AS26" i="825"/>
  <c r="Z27" i="825" a="1"/>
  <c r="AA27" i="825"/>
  <c r="AB27" i="825"/>
  <c r="AC27" i="825"/>
  <c r="AD27" i="825"/>
  <c r="AE27" i="825"/>
  <c r="AF27" i="825"/>
  <c r="AG27" i="825"/>
  <c r="AH27" i="825"/>
  <c r="AI27" i="825"/>
  <c r="AJ27" i="825"/>
  <c r="AK27" i="825"/>
  <c r="AO27" i="825"/>
  <c r="AP27" i="825"/>
  <c r="AQ27" i="825" a="1"/>
  <c r="AR27" i="825"/>
  <c r="AS27" i="825"/>
  <c r="Z28" i="825" a="1"/>
  <c r="AA28" i="825"/>
  <c r="AB28" i="825"/>
  <c r="AC28" i="825"/>
  <c r="AD28" i="825"/>
  <c r="AE28" i="825"/>
  <c r="AF28" i="825"/>
  <c r="AG28" i="825"/>
  <c r="AH28" i="825"/>
  <c r="AI28" i="825"/>
  <c r="AJ28" i="825"/>
  <c r="AK28" i="825"/>
  <c r="AO28" i="825"/>
  <c r="AP28" i="825"/>
  <c r="AQ28" i="825" a="1"/>
  <c r="AR28" i="825"/>
  <c r="AS28" i="825"/>
  <c r="Z29" i="825" a="1"/>
  <c r="AA29" i="825"/>
  <c r="AB29" i="825"/>
  <c r="AC29" i="825"/>
  <c r="AD29" i="825"/>
  <c r="AE29" i="825"/>
  <c r="AF29" i="825"/>
  <c r="AG29" i="825"/>
  <c r="AH29" i="825"/>
  <c r="AI29" i="825"/>
  <c r="AJ29" i="825"/>
  <c r="AK29" i="825"/>
  <c r="AO29" i="825"/>
  <c r="AP29" i="825"/>
  <c r="AQ29" i="825" a="1"/>
  <c r="AR29" i="825"/>
  <c r="AS29" i="825"/>
  <c r="Z30" i="825" a="1"/>
  <c r="AA30" i="825"/>
  <c r="AB30" i="825"/>
  <c r="AC30" i="825"/>
  <c r="AD30" i="825"/>
  <c r="AE30" i="825"/>
  <c r="AF30" i="825"/>
  <c r="AG30" i="825"/>
  <c r="AH30" i="825"/>
  <c r="AI30" i="825"/>
  <c r="AJ30" i="825"/>
  <c r="AK30" i="825"/>
  <c r="AO30" i="825"/>
  <c r="AP30" i="825"/>
  <c r="AQ30" i="825" a="1"/>
  <c r="AR30" i="825"/>
  <c r="AS30" i="825"/>
  <c r="Z31" i="825" a="1"/>
  <c r="AA31" i="825"/>
  <c r="AB31" i="825"/>
  <c r="AC31" i="825"/>
  <c r="AD31" i="825"/>
  <c r="AE31" i="825"/>
  <c r="AF31" i="825"/>
  <c r="AG31" i="825"/>
  <c r="AH31" i="825"/>
  <c r="AI31" i="825"/>
  <c r="AJ31" i="825"/>
  <c r="AK31" i="825"/>
  <c r="AO31" i="825"/>
  <c r="AP31" i="825"/>
  <c r="AQ31" i="825" a="1"/>
  <c r="AR31" i="825"/>
  <c r="AS31" i="825"/>
  <c r="Z32" i="825" a="1"/>
  <c r="AA32" i="825"/>
  <c r="AB32" i="825"/>
  <c r="AC32" i="825"/>
  <c r="AD32" i="825"/>
  <c r="AE32" i="825"/>
  <c r="AF32" i="825"/>
  <c r="AG32" i="825"/>
  <c r="AH32" i="825"/>
  <c r="AI32" i="825"/>
  <c r="AJ32" i="825"/>
  <c r="AK32" i="825"/>
  <c r="AO32" i="825"/>
  <c r="AP32" i="825"/>
  <c r="AQ32" i="825" a="1"/>
  <c r="AR32" i="825"/>
  <c r="AS32" i="825"/>
  <c r="Z33" i="825" a="1"/>
  <c r="AA33" i="825"/>
  <c r="AB33" i="825"/>
  <c r="AC33" i="825"/>
  <c r="AD33" i="825"/>
  <c r="AE33" i="825"/>
  <c r="AF33" i="825"/>
  <c r="AG33" i="825"/>
  <c r="AH33" i="825"/>
  <c r="AI33" i="825"/>
  <c r="AJ33" i="825"/>
  <c r="AK33" i="825"/>
  <c r="AO33" i="825"/>
  <c r="AP33" i="825"/>
  <c r="AQ33" i="825" a="1"/>
  <c r="AR33" i="825"/>
  <c r="AS33" i="825"/>
  <c r="Z34" i="825" a="1"/>
  <c r="AA34" i="825"/>
  <c r="AB34" i="825"/>
  <c r="AC34" i="825"/>
  <c r="AD34" i="825"/>
  <c r="AE34" i="825"/>
  <c r="AF34" i="825"/>
  <c r="AG34" i="825"/>
  <c r="AH34" i="825"/>
  <c r="AI34" i="825"/>
  <c r="AJ34" i="825"/>
  <c r="AK34" i="825"/>
  <c r="AO34" i="825"/>
  <c r="AP34" i="825"/>
  <c r="AQ34" i="825" a="1"/>
  <c r="AR34" i="825"/>
  <c r="AS34" i="825"/>
  <c r="Z35" i="825" a="1"/>
  <c r="AA35" i="825"/>
  <c r="AB35" i="825"/>
  <c r="AC35" i="825"/>
  <c r="AD35" i="825"/>
  <c r="AE35" i="825"/>
  <c r="AF35" i="825"/>
  <c r="AG35" i="825"/>
  <c r="AH35" i="825"/>
  <c r="AI35" i="825"/>
  <c r="AJ35" i="825"/>
  <c r="AK35" i="825"/>
  <c r="AO35" i="825"/>
  <c r="AP35" i="825"/>
  <c r="AQ35" i="825" a="1"/>
  <c r="AR35" i="825"/>
  <c r="AS35" i="825"/>
  <c r="Z36" i="825" a="1"/>
  <c r="AA36" i="825"/>
  <c r="AB36" i="825"/>
  <c r="AC36" i="825"/>
  <c r="AD36" i="825"/>
  <c r="AE36" i="825"/>
  <c r="AF36" i="825"/>
  <c r="AG36" i="825"/>
  <c r="AH36" i="825"/>
  <c r="AI36" i="825"/>
  <c r="AJ36" i="825"/>
  <c r="AK36" i="825"/>
  <c r="AO36" i="825"/>
  <c r="AP36" i="825"/>
  <c r="AQ36" i="825" a="1"/>
  <c r="AR36" i="825"/>
  <c r="AS36" i="825"/>
  <c r="Z37" i="825" a="1"/>
  <c r="AA37" i="825"/>
  <c r="AB37" i="825"/>
  <c r="AC37" i="825"/>
  <c r="AD37" i="825"/>
  <c r="AE37" i="825"/>
  <c r="AF37" i="825"/>
  <c r="AG37" i="825"/>
  <c r="AH37" i="825"/>
  <c r="AI37" i="825"/>
  <c r="AJ37" i="825"/>
  <c r="AK37" i="825"/>
  <c r="AO37" i="825"/>
  <c r="AP37" i="825"/>
  <c r="AQ37" i="825" a="1"/>
  <c r="AR37" i="825"/>
  <c r="AS37" i="825"/>
  <c r="Z38" i="825" a="1"/>
  <c r="AA38" i="825"/>
  <c r="AB38" i="825"/>
  <c r="AC38" i="825"/>
  <c r="AD38" i="825"/>
  <c r="AE38" i="825"/>
  <c r="AF38" i="825"/>
  <c r="AG38" i="825"/>
  <c r="AH38" i="825"/>
  <c r="AI38" i="825"/>
  <c r="AJ38" i="825"/>
  <c r="AK38" i="825"/>
  <c r="AO38" i="825"/>
  <c r="AP38" i="825"/>
  <c r="AQ38" i="825" a="1"/>
  <c r="AR38" i="825"/>
  <c r="AS38" i="825"/>
  <c r="Z39" i="825" a="1"/>
  <c r="AA39" i="825"/>
  <c r="AB39" i="825"/>
  <c r="AC39" i="825"/>
  <c r="AD39" i="825"/>
  <c r="AE39" i="825"/>
  <c r="AF39" i="825"/>
  <c r="AG39" i="825"/>
  <c r="AH39" i="825"/>
  <c r="AI39" i="825"/>
  <c r="AJ39" i="825"/>
  <c r="AK39" i="825"/>
  <c r="AO39" i="825"/>
  <c r="AP39" i="825"/>
  <c r="AQ39" i="825" a="1"/>
  <c r="AR39" i="825"/>
  <c r="AS39" i="825"/>
  <c r="Z40" i="825" a="1"/>
  <c r="AA40" i="825"/>
  <c r="AB40" i="825"/>
  <c r="AC40" i="825"/>
  <c r="AD40" i="825"/>
  <c r="AE40" i="825"/>
  <c r="AF40" i="825"/>
  <c r="AG40" i="825"/>
  <c r="AH40" i="825"/>
  <c r="AI40" i="825"/>
  <c r="AJ40" i="825"/>
  <c r="AK40" i="825"/>
  <c r="AL40" i="825"/>
  <c r="AO40" i="825"/>
  <c r="AP40" i="825"/>
  <c r="AQ40" i="825" a="1"/>
  <c r="AR40" i="825"/>
  <c r="AS40" i="825"/>
  <c r="Z41" i="825" a="1"/>
  <c r="AA41" i="825"/>
  <c r="AB41" i="825"/>
  <c r="AC41" i="825"/>
  <c r="AD41" i="825"/>
  <c r="AE41" i="825"/>
  <c r="AF41" i="825"/>
  <c r="AG41" i="825"/>
  <c r="AH41" i="825"/>
  <c r="AI41" i="825"/>
  <c r="AJ41" i="825"/>
  <c r="AK41" i="825"/>
  <c r="AO41" i="825"/>
  <c r="AP41" i="825"/>
  <c r="AQ41" i="825" a="1"/>
  <c r="AR41" i="825"/>
  <c r="AS41" i="825"/>
  <c r="Z42" i="825" a="1"/>
  <c r="AA42" i="825"/>
  <c r="AB42" i="825"/>
  <c r="AC42" i="825"/>
  <c r="AD42" i="825"/>
  <c r="AE42" i="825"/>
  <c r="AF42" i="825"/>
  <c r="AG42" i="825"/>
  <c r="AH42" i="825"/>
  <c r="AI42" i="825"/>
  <c r="AJ42" i="825"/>
  <c r="AK42" i="825"/>
  <c r="AO42" i="825"/>
  <c r="AP42" i="825"/>
  <c r="AQ42" i="825" a="1"/>
  <c r="AR42" i="825"/>
  <c r="AS42" i="825"/>
  <c r="Z43" i="825" a="1"/>
  <c r="AA43" i="825"/>
  <c r="AB43" i="825"/>
  <c r="AC43" i="825"/>
  <c r="AD43" i="825"/>
  <c r="AE43" i="825"/>
  <c r="AF43" i="825"/>
  <c r="AG43" i="825"/>
  <c r="AH43" i="825"/>
  <c r="AI43" i="825"/>
  <c r="AJ43" i="825"/>
  <c r="AK43" i="825"/>
  <c r="AO43" i="825"/>
  <c r="AP43" i="825"/>
  <c r="AQ43" i="825" a="1"/>
  <c r="AR43" i="825"/>
  <c r="AS43" i="825"/>
  <c r="Z44" i="825" a="1"/>
  <c r="AA44" i="825"/>
  <c r="AB44" i="825"/>
  <c r="AC44" i="825"/>
  <c r="AD44" i="825"/>
  <c r="AE44" i="825"/>
  <c r="AF44" i="825"/>
  <c r="AG44" i="825"/>
  <c r="AH44" i="825"/>
  <c r="AI44" i="825"/>
  <c r="AJ44" i="825"/>
  <c r="AK44" i="825"/>
  <c r="AO44" i="825"/>
  <c r="AP44" i="825"/>
  <c r="AQ44" i="825" a="1"/>
  <c r="AR44" i="825"/>
  <c r="AS44" i="825"/>
  <c r="Z45" i="825" a="1"/>
  <c r="AA45" i="825"/>
  <c r="AB45" i="825"/>
  <c r="AC45" i="825"/>
  <c r="AD45" i="825"/>
  <c r="AE45" i="825"/>
  <c r="AF45" i="825"/>
  <c r="AG45" i="825"/>
  <c r="AH45" i="825"/>
  <c r="AI45" i="825"/>
  <c r="AJ45" i="825"/>
  <c r="AK45" i="825"/>
  <c r="AO45" i="825"/>
  <c r="AP45" i="825"/>
  <c r="AQ45" i="825" a="1"/>
  <c r="AR45" i="825"/>
  <c r="AS45" i="825"/>
  <c r="Z46" i="825" a="1"/>
  <c r="AA46" i="825"/>
  <c r="AB46" i="825"/>
  <c r="AC46" i="825"/>
  <c r="AD46" i="825"/>
  <c r="AE46" i="825"/>
  <c r="AF46" i="825"/>
  <c r="AG46" i="825"/>
  <c r="AH46" i="825"/>
  <c r="AI46" i="825"/>
  <c r="AJ46" i="825"/>
  <c r="AK46" i="825"/>
  <c r="AO46" i="825"/>
  <c r="AP46" i="825"/>
  <c r="AQ46" i="825" a="1"/>
  <c r="AR46" i="825"/>
  <c r="AS46" i="825"/>
  <c r="Z47" i="825" a="1"/>
  <c r="AA47" i="825"/>
  <c r="AB47" i="825"/>
  <c r="AC47" i="825"/>
  <c r="AD47" i="825"/>
  <c r="AE47" i="825"/>
  <c r="AF47" i="825"/>
  <c r="AG47" i="825"/>
  <c r="AH47" i="825"/>
  <c r="AI47" i="825"/>
  <c r="AJ47" i="825"/>
  <c r="AK47" i="825"/>
  <c r="AO47" i="825"/>
  <c r="AP47" i="825"/>
  <c r="AQ47" i="825" a="1"/>
  <c r="AR47" i="825"/>
  <c r="AS47" i="825"/>
  <c r="Z48" i="825" a="1"/>
  <c r="AA48" i="825"/>
  <c r="AB48" i="825"/>
  <c r="AC48" i="825"/>
  <c r="AD48" i="825"/>
  <c r="AE48" i="825"/>
  <c r="AF48" i="825"/>
  <c r="AG48" i="825"/>
  <c r="AH48" i="825"/>
  <c r="AI48" i="825"/>
  <c r="AJ48" i="825"/>
  <c r="AK48" i="825"/>
  <c r="AO48" i="825"/>
  <c r="AP48" i="825"/>
  <c r="AQ48" i="825" a="1"/>
  <c r="AR48" i="825"/>
  <c r="AS48" i="825"/>
  <c r="Z49" i="825" a="1"/>
  <c r="AA49" i="825"/>
  <c r="AB49" i="825"/>
  <c r="AC49" i="825"/>
  <c r="AD49" i="825"/>
  <c r="AE49" i="825"/>
  <c r="AF49" i="825"/>
  <c r="AG49" i="825"/>
  <c r="AH49" i="825"/>
  <c r="AI49" i="825"/>
  <c r="AJ49" i="825"/>
  <c r="AK49" i="825"/>
  <c r="AO49" i="825"/>
  <c r="AP49" i="825"/>
  <c r="AQ49" i="825" a="1"/>
  <c r="AR49" i="825"/>
  <c r="AS49" i="825"/>
  <c r="Z50" i="825" a="1"/>
  <c r="AA50" i="825"/>
  <c r="AB50" i="825"/>
  <c r="AC50" i="825"/>
  <c r="AD50" i="825"/>
  <c r="AE50" i="825"/>
  <c r="AF50" i="825"/>
  <c r="AG50" i="825"/>
  <c r="AH50" i="825"/>
  <c r="AI50" i="825"/>
  <c r="AJ50" i="825"/>
  <c r="AK50" i="825"/>
  <c r="AO50" i="825"/>
  <c r="AP50" i="825"/>
  <c r="AQ50" i="825" a="1"/>
  <c r="AR50" i="825"/>
  <c r="AS50" i="825"/>
  <c r="Z51" i="825" a="1"/>
  <c r="AA51" i="825"/>
  <c r="AB51" i="825"/>
  <c r="AC51" i="825"/>
  <c r="AD51" i="825"/>
  <c r="AE51" i="825"/>
  <c r="AF51" i="825"/>
  <c r="AG51" i="825"/>
  <c r="AH51" i="825"/>
  <c r="AI51" i="825"/>
  <c r="AJ51" i="825"/>
  <c r="AK51" i="825"/>
  <c r="AO51" i="825"/>
  <c r="AP51" i="825"/>
  <c r="AQ51" i="825" a="1"/>
  <c r="AR51" i="825"/>
  <c r="AS51" i="825"/>
  <c r="Z52" i="825" a="1"/>
  <c r="AA52" i="825"/>
  <c r="AB52" i="825"/>
  <c r="AC52" i="825"/>
  <c r="AD52" i="825"/>
  <c r="AE52" i="825"/>
  <c r="AF52" i="825"/>
  <c r="AG52" i="825"/>
  <c r="AH52" i="825"/>
  <c r="AI52" i="825"/>
  <c r="AJ52" i="825"/>
  <c r="AK52" i="825"/>
  <c r="AO52" i="825"/>
  <c r="AP52" i="825"/>
  <c r="AQ52" i="825" a="1"/>
  <c r="AR52" i="825"/>
  <c r="AS52" i="825"/>
  <c r="Z53" i="825" a="1"/>
  <c r="AA53" i="825"/>
  <c r="AB53" i="825"/>
  <c r="AC53" i="825"/>
  <c r="AD53" i="825"/>
  <c r="AE53" i="825"/>
  <c r="AF53" i="825"/>
  <c r="AG53" i="825"/>
  <c r="AH53" i="825"/>
  <c r="AI53" i="825"/>
  <c r="AJ53" i="825"/>
  <c r="AK53" i="825"/>
  <c r="AO53" i="825"/>
  <c r="AP53" i="825"/>
  <c r="AQ53" i="825" a="1"/>
  <c r="AR53" i="825"/>
  <c r="AS53" i="825"/>
  <c r="Z54" i="825" a="1"/>
  <c r="AA54" i="825"/>
  <c r="AB54" i="825"/>
  <c r="AC54" i="825"/>
  <c r="AD54" i="825"/>
  <c r="AE54" i="825"/>
  <c r="AF54" i="825"/>
  <c r="AG54" i="825"/>
  <c r="AH54" i="825"/>
  <c r="AI54" i="825"/>
  <c r="AJ54" i="825"/>
  <c r="AK54" i="825"/>
  <c r="AO54" i="825"/>
  <c r="AP54" i="825"/>
  <c r="AQ54" i="825" a="1"/>
  <c r="AR54" i="825"/>
  <c r="AS54" i="825"/>
  <c r="Z55" i="825" a="1"/>
  <c r="AA55" i="825"/>
  <c r="AB55" i="825"/>
  <c r="AC55" i="825"/>
  <c r="AD55" i="825"/>
  <c r="AE55" i="825"/>
  <c r="AF55" i="825"/>
  <c r="AG55" i="825"/>
  <c r="AH55" i="825"/>
  <c r="AI55" i="825"/>
  <c r="AJ55" i="825"/>
  <c r="AK55" i="825"/>
  <c r="AO55" i="825"/>
  <c r="AP55" i="825"/>
  <c r="AQ55" i="825" a="1"/>
  <c r="AR55" i="825"/>
  <c r="AS55" i="825"/>
  <c r="Z56" i="825" a="1"/>
  <c r="AA56" i="825"/>
  <c r="AB56" i="825"/>
  <c r="AC56" i="825"/>
  <c r="AD56" i="825"/>
  <c r="AE56" i="825"/>
  <c r="AF56" i="825"/>
  <c r="AG56" i="825"/>
  <c r="AH56" i="825"/>
  <c r="AI56" i="825"/>
  <c r="AJ56" i="825"/>
  <c r="AK56" i="825"/>
  <c r="AO56" i="825"/>
  <c r="AQ56" i="825" a="1"/>
  <c r="AR56" i="825"/>
  <c r="AS56" i="825"/>
  <c r="Z57" i="825" a="1"/>
  <c r="AA57" i="825"/>
  <c r="AB57" i="825"/>
  <c r="AC57" i="825"/>
  <c r="AD57" i="825"/>
  <c r="AE57" i="825"/>
  <c r="AF57" i="825"/>
  <c r="AG57" i="825"/>
  <c r="AH57" i="825"/>
  <c r="AI57" i="825"/>
  <c r="AJ57" i="825"/>
  <c r="AK57" i="825"/>
  <c r="AL57" i="825"/>
  <c r="AO57" i="825"/>
  <c r="AP57" i="825"/>
  <c r="AQ57" i="825" a="1"/>
  <c r="AR57" i="825"/>
  <c r="AS57" i="825"/>
  <c r="Z58" i="825" a="1"/>
  <c r="AA58" i="825"/>
  <c r="AB58" i="825"/>
  <c r="AC58" i="825"/>
  <c r="AD58" i="825"/>
  <c r="AE58" i="825"/>
  <c r="AF58" i="825"/>
  <c r="AG58" i="825"/>
  <c r="AH58" i="825"/>
  <c r="AI58" i="825"/>
  <c r="AJ58" i="825"/>
  <c r="AK58" i="825"/>
  <c r="AL58" i="825"/>
  <c r="AO58" i="825"/>
  <c r="AP58" i="825"/>
  <c r="AQ58" i="825" a="1"/>
  <c r="AR58" i="825"/>
  <c r="AS58" i="825"/>
  <c r="Z59" i="825" a="1"/>
  <c r="AA59" i="825"/>
  <c r="AB59" i="825"/>
  <c r="AC59" i="825"/>
  <c r="AD59" i="825"/>
  <c r="AE59" i="825"/>
  <c r="AF59" i="825"/>
  <c r="AG59" i="825"/>
  <c r="AH59" i="825"/>
  <c r="AI59" i="825"/>
  <c r="AJ59" i="825"/>
  <c r="AK59" i="825"/>
  <c r="AL59" i="825"/>
  <c r="AO59" i="825"/>
  <c r="AP59" i="825"/>
  <c r="AQ59" i="825" a="1"/>
  <c r="AR59" i="825"/>
  <c r="AS59" i="825"/>
  <c r="Z60" i="825" a="1"/>
  <c r="AA60" i="825"/>
  <c r="AB60" i="825"/>
  <c r="AC60" i="825"/>
  <c r="AD60" i="825"/>
  <c r="AE60" i="825"/>
  <c r="AF60" i="825"/>
  <c r="AG60" i="825"/>
  <c r="AH60" i="825"/>
  <c r="AI60" i="825"/>
  <c r="AJ60" i="825"/>
  <c r="AK60" i="825"/>
  <c r="AL60" i="825"/>
  <c r="AO60" i="825"/>
  <c r="AP60" i="825"/>
  <c r="AQ60" i="825" a="1"/>
  <c r="AR60" i="825"/>
  <c r="AS60" i="825"/>
  <c r="Z61" i="825" a="1"/>
  <c r="AA61" i="825"/>
  <c r="AB61" i="825"/>
  <c r="AC61" i="825"/>
  <c r="AD61" i="825"/>
  <c r="AE61" i="825"/>
  <c r="AF61" i="825"/>
  <c r="AG61" i="825"/>
  <c r="AH61" i="825"/>
  <c r="AI61" i="825"/>
  <c r="AJ61" i="825"/>
  <c r="AK61" i="825"/>
  <c r="AL61" i="825"/>
  <c r="AO61" i="825"/>
  <c r="AP61" i="825"/>
  <c r="AQ61" i="825" a="1"/>
  <c r="AR61" i="825"/>
  <c r="AS61" i="825"/>
  <c r="Z62" i="825" a="1"/>
  <c r="AA62" i="825"/>
  <c r="AB62" i="825"/>
  <c r="AC62" i="825"/>
  <c r="AD62" i="825"/>
  <c r="AE62" i="825"/>
  <c r="AF62" i="825"/>
  <c r="AG62" i="825"/>
  <c r="AH62" i="825"/>
  <c r="AI62" i="825"/>
  <c r="AJ62" i="825"/>
  <c r="AK62" i="825"/>
  <c r="AL62" i="825"/>
  <c r="AO62" i="825"/>
  <c r="AP62" i="825"/>
  <c r="AQ62" i="825" a="1"/>
  <c r="AR62" i="825"/>
  <c r="AS62" i="825"/>
  <c r="Z63" i="825" a="1"/>
  <c r="AA63" i="825"/>
  <c r="AB63" i="825"/>
  <c r="AC63" i="825"/>
  <c r="AD63" i="825"/>
  <c r="AE63" i="825"/>
  <c r="AF63" i="825"/>
  <c r="AG63" i="825"/>
  <c r="AH63" i="825"/>
  <c r="AI63" i="825"/>
  <c r="AJ63" i="825"/>
  <c r="AK63" i="825"/>
  <c r="AL63" i="825"/>
  <c r="AO63" i="825"/>
  <c r="AP63" i="825"/>
  <c r="AQ63" i="825" a="1"/>
  <c r="AR63" i="825"/>
  <c r="AS63" i="825"/>
  <c r="Z64" i="825" a="1"/>
  <c r="AA64" i="825"/>
  <c r="AB64" i="825"/>
  <c r="AC64" i="825"/>
  <c r="AD64" i="825"/>
  <c r="AE64" i="825"/>
  <c r="AF64" i="825"/>
  <c r="AG64" i="825"/>
  <c r="AH64" i="825"/>
  <c r="AI64" i="825"/>
  <c r="AJ64" i="825"/>
  <c r="AK64" i="825"/>
  <c r="AL64" i="825"/>
  <c r="AO64" i="825"/>
  <c r="AP64" i="825"/>
  <c r="AQ64" i="825" a="1"/>
  <c r="AR64" i="825"/>
  <c r="AS64" i="825"/>
  <c r="Z65" i="825" a="1"/>
  <c r="AA65" i="825"/>
  <c r="AB65" i="825"/>
  <c r="AC65" i="825"/>
  <c r="AD65" i="825"/>
  <c r="AE65" i="825"/>
  <c r="AF65" i="825"/>
  <c r="AG65" i="825"/>
  <c r="AH65" i="825"/>
  <c r="AI65" i="825"/>
  <c r="AJ65" i="825"/>
  <c r="AK65" i="825"/>
  <c r="AO65" i="825"/>
  <c r="AP65" i="825"/>
  <c r="AQ65" i="825" a="1"/>
  <c r="AR65" i="825"/>
  <c r="AS65" i="825"/>
  <c r="Z66" i="825" a="1"/>
  <c r="AA66" i="825"/>
  <c r="AB66" i="825"/>
  <c r="AC66" i="825"/>
  <c r="AD66" i="825"/>
  <c r="AE66" i="825"/>
  <c r="AF66" i="825"/>
  <c r="AG66" i="825"/>
  <c r="AH66" i="825"/>
  <c r="AI66" i="825"/>
  <c r="AJ66" i="825"/>
  <c r="AK66" i="825"/>
  <c r="AO66" i="825"/>
  <c r="AP66" i="825"/>
  <c r="AQ66" i="825" a="1"/>
  <c r="AR66" i="825"/>
  <c r="AS66" i="825"/>
  <c r="Z67" i="825" a="1"/>
  <c r="AA67" i="825"/>
  <c r="AB67" i="825"/>
  <c r="AC67" i="825"/>
  <c r="AD67" i="825"/>
  <c r="AE67" i="825"/>
  <c r="AF67" i="825"/>
  <c r="AG67" i="825"/>
  <c r="AH67" i="825"/>
  <c r="AI67" i="825"/>
  <c r="AJ67" i="825"/>
  <c r="AK67" i="825"/>
  <c r="AO67" i="825"/>
  <c r="AP67" i="825"/>
  <c r="AQ67" i="825" a="1"/>
  <c r="AR67" i="825"/>
  <c r="AS67" i="825"/>
  <c r="Z68" i="825" a="1"/>
  <c r="AA68" i="825"/>
  <c r="AB68" i="825"/>
  <c r="AC68" i="825"/>
  <c r="AD68" i="825"/>
  <c r="AE68" i="825"/>
  <c r="AF68" i="825"/>
  <c r="AG68" i="825"/>
  <c r="AH68" i="825"/>
  <c r="AI68" i="825"/>
  <c r="AJ68" i="825"/>
  <c r="AK68" i="825"/>
  <c r="AO68" i="825"/>
  <c r="AP68" i="825"/>
  <c r="AQ68" i="825" a="1"/>
  <c r="AR68" i="825"/>
  <c r="AS68" i="825"/>
  <c r="Z69" i="825" a="1"/>
  <c r="AA69" i="825"/>
  <c r="AB69" i="825"/>
  <c r="AC69" i="825"/>
  <c r="AD69" i="825"/>
  <c r="AE69" i="825"/>
  <c r="AF69" i="825"/>
  <c r="AG69" i="825"/>
  <c r="AH69" i="825"/>
  <c r="AI69" i="825"/>
  <c r="AJ69" i="825"/>
  <c r="AK69" i="825"/>
  <c r="AO69" i="825"/>
  <c r="AP69" i="825"/>
  <c r="AQ69" i="825" a="1"/>
  <c r="AR69" i="825"/>
  <c r="AS69" i="825"/>
  <c r="Z70" i="825" a="1"/>
  <c r="AA70" i="825"/>
  <c r="AB70" i="825"/>
  <c r="AC70" i="825"/>
  <c r="AD70" i="825"/>
  <c r="AE70" i="825"/>
  <c r="AF70" i="825"/>
  <c r="AG70" i="825"/>
  <c r="AH70" i="825"/>
  <c r="AI70" i="825"/>
  <c r="AJ70" i="825"/>
  <c r="AK70" i="825"/>
  <c r="AO70" i="825"/>
  <c r="AP70" i="825"/>
  <c r="AQ70" i="825" a="1"/>
  <c r="AR70" i="825"/>
  <c r="AS70" i="825"/>
  <c r="Z71" i="825" a="1"/>
  <c r="AA71" i="825"/>
  <c r="AB71" i="825"/>
  <c r="AC71" i="825"/>
  <c r="AD71" i="825"/>
  <c r="AE71" i="825"/>
  <c r="AF71" i="825"/>
  <c r="AG71" i="825"/>
  <c r="AH71" i="825"/>
  <c r="AI71" i="825"/>
  <c r="AJ71" i="825"/>
  <c r="AK71" i="825"/>
  <c r="AO71" i="825"/>
  <c r="AP71" i="825"/>
  <c r="AQ71" i="825" a="1"/>
  <c r="AR71" i="825"/>
  <c r="AS71" i="825"/>
  <c r="Z72" i="825" a="1"/>
  <c r="AA72" i="825"/>
  <c r="AB72" i="825"/>
  <c r="AC72" i="825"/>
  <c r="AD72" i="825"/>
  <c r="AE72" i="825"/>
  <c r="AF72" i="825"/>
  <c r="AG72" i="825"/>
  <c r="AH72" i="825"/>
  <c r="AI72" i="825"/>
  <c r="AJ72" i="825"/>
  <c r="AK72" i="825"/>
  <c r="AL72" i="825"/>
  <c r="AO72" i="825"/>
  <c r="AP72" i="825"/>
  <c r="AQ72" i="825" a="1"/>
  <c r="AR72" i="825"/>
  <c r="AS72" i="825"/>
  <c r="Z73" i="825" a="1"/>
  <c r="AA73" i="825"/>
  <c r="AB73" i="825"/>
  <c r="AC73" i="825"/>
  <c r="AD73" i="825"/>
  <c r="AE73" i="825"/>
  <c r="AF73" i="825"/>
  <c r="AG73" i="825"/>
  <c r="AH73" i="825"/>
  <c r="AI73" i="825"/>
  <c r="AJ73" i="825"/>
  <c r="AK73" i="825"/>
  <c r="AO73" i="825"/>
  <c r="AP73" i="825"/>
  <c r="AQ73" i="825" a="1"/>
  <c r="AR73" i="825"/>
  <c r="AS73" i="825"/>
  <c r="Z74" i="825" a="1"/>
  <c r="AA74" i="825"/>
  <c r="AB74" i="825"/>
  <c r="AC74" i="825"/>
  <c r="AD74" i="825"/>
  <c r="AE74" i="825"/>
  <c r="AF74" i="825"/>
  <c r="AG74" i="825"/>
  <c r="AH74" i="825"/>
  <c r="AI74" i="825"/>
  <c r="AJ74" i="825"/>
  <c r="AK74" i="825"/>
  <c r="AO74" i="825"/>
  <c r="AP74" i="825"/>
  <c r="AQ74" i="825" a="1"/>
  <c r="AR74" i="825"/>
  <c r="AS74" i="825"/>
  <c r="Z75" i="825" a="1"/>
  <c r="AA75" i="825"/>
  <c r="AB75" i="825"/>
  <c r="AC75" i="825"/>
  <c r="AD75" i="825"/>
  <c r="AE75" i="825"/>
  <c r="AF75" i="825"/>
  <c r="AG75" i="825"/>
  <c r="AH75" i="825"/>
  <c r="AI75" i="825"/>
  <c r="AJ75" i="825"/>
  <c r="AK75" i="825"/>
  <c r="AO75" i="825"/>
  <c r="AP75" i="825"/>
  <c r="AQ75" i="825" a="1"/>
  <c r="AR75" i="825"/>
  <c r="AS75" i="825"/>
  <c r="Z76" i="825" a="1"/>
  <c r="AA76" i="825"/>
  <c r="AB76" i="825"/>
  <c r="AC76" i="825"/>
  <c r="AD76" i="825"/>
  <c r="AE76" i="825"/>
  <c r="AF76" i="825"/>
  <c r="AG76" i="825"/>
  <c r="AH76" i="825"/>
  <c r="AI76" i="825"/>
  <c r="AJ76" i="825"/>
  <c r="AK76" i="825"/>
  <c r="AO76" i="825"/>
  <c r="AP76" i="825"/>
  <c r="AQ76" i="825" a="1"/>
  <c r="AR76" i="825"/>
  <c r="AS76" i="825"/>
  <c r="Z77" i="825" a="1"/>
  <c r="AA77" i="825"/>
  <c r="AB77" i="825"/>
  <c r="AC77" i="825"/>
  <c r="AD77" i="825"/>
  <c r="AE77" i="825"/>
  <c r="AF77" i="825"/>
  <c r="AG77" i="825"/>
  <c r="AH77" i="825"/>
  <c r="AI77" i="825"/>
  <c r="AJ77" i="825"/>
  <c r="AK77" i="825"/>
  <c r="AO77" i="825"/>
  <c r="AP77" i="825"/>
  <c r="AQ77" i="825" a="1"/>
  <c r="AR77" i="825"/>
  <c r="AS77" i="825"/>
  <c r="Z78" i="825" a="1"/>
  <c r="AA78" i="825"/>
  <c r="AB78" i="825"/>
  <c r="AC78" i="825"/>
  <c r="AD78" i="825"/>
  <c r="AE78" i="825"/>
  <c r="AF78" i="825"/>
  <c r="AG78" i="825"/>
  <c r="AH78" i="825"/>
  <c r="AI78" i="825"/>
  <c r="AJ78" i="825"/>
  <c r="AK78" i="825"/>
  <c r="AL78" i="825"/>
  <c r="AO78" i="825"/>
  <c r="AP78" i="825"/>
  <c r="AQ78" i="825" a="1"/>
  <c r="AR78" i="825"/>
  <c r="AS78" i="825"/>
  <c r="Z79" i="825" a="1"/>
  <c r="AA79" i="825"/>
  <c r="AB79" i="825"/>
  <c r="AC79" i="825"/>
  <c r="AD79" i="825"/>
  <c r="AE79" i="825"/>
  <c r="AF79" i="825"/>
  <c r="AG79" i="825"/>
  <c r="AH79" i="825"/>
  <c r="AI79" i="825"/>
  <c r="AJ79" i="825"/>
  <c r="AK79" i="825"/>
  <c r="AO79" i="825"/>
  <c r="AP79" i="825"/>
  <c r="AQ79" i="825" a="1"/>
  <c r="AR79" i="825"/>
  <c r="AS79" i="825"/>
  <c r="Z80" i="825" a="1"/>
  <c r="AA80" i="825"/>
  <c r="AB80" i="825"/>
  <c r="AC80" i="825"/>
  <c r="AD80" i="825"/>
  <c r="AE80" i="825"/>
  <c r="AF80" i="825"/>
  <c r="AG80" i="825"/>
  <c r="AH80" i="825"/>
  <c r="AI80" i="825"/>
  <c r="AJ80" i="825"/>
  <c r="AK80" i="825"/>
  <c r="AO80" i="825"/>
  <c r="AP80" i="825"/>
  <c r="AQ80" i="825" a="1"/>
  <c r="AR80" i="825"/>
  <c r="AS80" i="825"/>
  <c r="Z81" i="825" a="1"/>
  <c r="AA81" i="825"/>
  <c r="AB81" i="825"/>
  <c r="AC81" i="825"/>
  <c r="AD81" i="825"/>
  <c r="AE81" i="825"/>
  <c r="AF81" i="825"/>
  <c r="AG81" i="825"/>
  <c r="AH81" i="825"/>
  <c r="AI81" i="825"/>
  <c r="AJ81" i="825"/>
  <c r="AK81" i="825"/>
  <c r="AO81" i="825"/>
  <c r="AP81" i="825"/>
  <c r="AQ81" i="825" a="1"/>
  <c r="AR81" i="825"/>
  <c r="AS81" i="825"/>
  <c r="Z82" i="825" a="1"/>
  <c r="AA82" i="825"/>
  <c r="AB82" i="825"/>
  <c r="AC82" i="825"/>
  <c r="AD82" i="825"/>
  <c r="AE82" i="825"/>
  <c r="AF82" i="825"/>
  <c r="AG82" i="825"/>
  <c r="AH82" i="825"/>
  <c r="AI82" i="825"/>
  <c r="AJ82" i="825"/>
  <c r="AK82" i="825"/>
  <c r="AO82" i="825"/>
  <c r="AP82" i="825"/>
  <c r="AQ82" i="825" a="1"/>
  <c r="AR82" i="825"/>
  <c r="AS82" i="825"/>
  <c r="Z83" i="825" a="1"/>
  <c r="AA83" i="825"/>
  <c r="AB83" i="825"/>
  <c r="AC83" i="825"/>
  <c r="AD83" i="825"/>
  <c r="AE83" i="825"/>
  <c r="AF83" i="825"/>
  <c r="AG83" i="825"/>
  <c r="AH83" i="825"/>
  <c r="AI83" i="825"/>
  <c r="AJ83" i="825"/>
  <c r="AK83" i="825"/>
  <c r="AL83" i="825"/>
  <c r="AO83" i="825"/>
  <c r="AP83" i="825"/>
  <c r="AQ83" i="825" a="1"/>
  <c r="AR83" i="825"/>
  <c r="AS83" i="825"/>
  <c r="Z84" i="825" a="1"/>
  <c r="AA84" i="825"/>
  <c r="AB84" i="825"/>
  <c r="AC84" i="825"/>
  <c r="AD84" i="825"/>
  <c r="AE84" i="825"/>
  <c r="AF84" i="825"/>
  <c r="AG84" i="825"/>
  <c r="AH84" i="825"/>
  <c r="AI84" i="825"/>
  <c r="AJ84" i="825"/>
  <c r="AK84" i="825"/>
  <c r="AO84" i="825"/>
  <c r="AP84" i="825"/>
  <c r="AQ84" i="825" a="1"/>
  <c r="AR84" i="825"/>
  <c r="AS84" i="825"/>
  <c r="Z85" i="825" a="1"/>
  <c r="AA85" i="825"/>
  <c r="AB85" i="825"/>
  <c r="AC85" i="825"/>
  <c r="AD85" i="825"/>
  <c r="AE85" i="825"/>
  <c r="AF85" i="825"/>
  <c r="AG85" i="825"/>
  <c r="AH85" i="825"/>
  <c r="AI85" i="825"/>
  <c r="AJ85" i="825"/>
  <c r="AK85" i="825"/>
  <c r="AL85" i="825"/>
  <c r="AO85" i="825"/>
  <c r="AP85" i="825"/>
  <c r="AQ85" i="825" a="1"/>
  <c r="AR85" i="825"/>
  <c r="AS85" i="825"/>
  <c r="Z86" i="825" a="1"/>
  <c r="AA86" i="825"/>
  <c r="AB86" i="825"/>
  <c r="AC86" i="825"/>
  <c r="AD86" i="825"/>
  <c r="AE86" i="825"/>
  <c r="AF86" i="825"/>
  <c r="AG86" i="825"/>
  <c r="AH86" i="825"/>
  <c r="AI86" i="825"/>
  <c r="AJ86" i="825"/>
  <c r="AK86" i="825"/>
  <c r="AO86" i="825"/>
  <c r="AP86" i="825"/>
  <c r="AQ86" i="825" a="1"/>
  <c r="AR86" i="825"/>
  <c r="AS86" i="825"/>
  <c r="Z87" i="825" a="1"/>
  <c r="AA87" i="825"/>
  <c r="AB87" i="825"/>
  <c r="AC87" i="825"/>
  <c r="AD87" i="825"/>
  <c r="AE87" i="825"/>
  <c r="AF87" i="825"/>
  <c r="AG87" i="825"/>
  <c r="AH87" i="825"/>
  <c r="AI87" i="825"/>
  <c r="AJ87" i="825"/>
  <c r="AK87" i="825"/>
  <c r="AO87" i="825"/>
  <c r="AP87" i="825"/>
  <c r="AQ87" i="825" a="1"/>
  <c r="AR87" i="825"/>
  <c r="AS87" i="825"/>
  <c r="AS8" i="825"/>
  <c r="AR8" i="825"/>
  <c r="AF8" i="825"/>
  <c r="AJ8" i="825"/>
  <c r="AH8" i="825"/>
  <c r="F8" i="825"/>
  <c r="F9" i="825"/>
  <c r="F9" i="824"/>
  <c r="AB9" i="824"/>
  <c r="AB8" i="824"/>
  <c r="Q9" i="824"/>
  <c r="Q10" i="824"/>
  <c r="Q11" i="824"/>
  <c r="Q12" i="824"/>
  <c r="Q13" i="824"/>
  <c r="Q14" i="824"/>
  <c r="Q15" i="824"/>
  <c r="Q16" i="824"/>
  <c r="Q17" i="824"/>
  <c r="Q18" i="824"/>
  <c r="Q19" i="824"/>
  <c r="Q20" i="824"/>
  <c r="Q21" i="824"/>
  <c r="Q22" i="824"/>
  <c r="Q23" i="824"/>
  <c r="Q24" i="824"/>
  <c r="Q25" i="824"/>
  <c r="Q26" i="824"/>
  <c r="Q27" i="824"/>
  <c r="Q28" i="824"/>
  <c r="Q29" i="824"/>
  <c r="Q30" i="824"/>
  <c r="Q31" i="824"/>
  <c r="Q32" i="824"/>
  <c r="Q33" i="824"/>
  <c r="Q34" i="824"/>
  <c r="Q35" i="824"/>
  <c r="Q36" i="824"/>
  <c r="Q37" i="824"/>
  <c r="Q38" i="824"/>
  <c r="Q39" i="824"/>
  <c r="Q40" i="824"/>
  <c r="Q41" i="824"/>
  <c r="Q42" i="824"/>
  <c r="Q43" i="824"/>
  <c r="Q44" i="824"/>
  <c r="Q45" i="824"/>
  <c r="Q46" i="824"/>
  <c r="Q47" i="824"/>
  <c r="Q48" i="824"/>
  <c r="Q49" i="824"/>
  <c r="Q50" i="824"/>
  <c r="Q51" i="824"/>
  <c r="Q52" i="824"/>
  <c r="Q53" i="824"/>
  <c r="Q54" i="824"/>
  <c r="Q55" i="824"/>
  <c r="Q56" i="824"/>
  <c r="Q57" i="824"/>
  <c r="Q58" i="824"/>
  <c r="Q59" i="824"/>
  <c r="Q60" i="824"/>
  <c r="Q61" i="824"/>
  <c r="Q62" i="824"/>
  <c r="Q63" i="824"/>
  <c r="Q64" i="824"/>
  <c r="Q65" i="824"/>
  <c r="Q66" i="824"/>
  <c r="Q67" i="824"/>
  <c r="Q68" i="824"/>
  <c r="Q69" i="824"/>
  <c r="Q70" i="824"/>
  <c r="Q71" i="824"/>
  <c r="Q72" i="824"/>
  <c r="Q73" i="824"/>
  <c r="Q74" i="824"/>
  <c r="Q75" i="824"/>
  <c r="Q76" i="824"/>
  <c r="Q77" i="824"/>
  <c r="Q78" i="824"/>
  <c r="Q79" i="824"/>
  <c r="Q80" i="824"/>
  <c r="Q81" i="824"/>
  <c r="Q82" i="824"/>
  <c r="Q83" i="824"/>
  <c r="Q84" i="824"/>
  <c r="Q85" i="824"/>
  <c r="Q86" i="824"/>
  <c r="Q87" i="824"/>
  <c r="AJ82" i="824" a="1"/>
  <c r="U9" i="824" a="1"/>
  <c r="V9" i="824"/>
  <c r="W9" i="824"/>
  <c r="X9" i="824"/>
  <c r="Y9" i="824"/>
  <c r="Z9" i="824"/>
  <c r="AA9" i="824"/>
  <c r="AC9" i="824"/>
  <c r="AD9" i="824"/>
  <c r="AH9" i="824"/>
  <c r="AJ9" i="824" a="1"/>
  <c r="AK9" i="824"/>
  <c r="AL9" i="824"/>
  <c r="U10" i="824" a="1"/>
  <c r="V10" i="824"/>
  <c r="W10" i="824"/>
  <c r="X10" i="824"/>
  <c r="Y10" i="824"/>
  <c r="Z10" i="824"/>
  <c r="AA10" i="824"/>
  <c r="AB10" i="824"/>
  <c r="AC10" i="824"/>
  <c r="AD10" i="824"/>
  <c r="AH10" i="824"/>
  <c r="AI10" i="824"/>
  <c r="AJ10" i="824" a="1"/>
  <c r="AK10" i="824"/>
  <c r="AL10" i="824"/>
  <c r="U11" i="824" a="1"/>
  <c r="V11" i="824"/>
  <c r="W11" i="824"/>
  <c r="X11" i="824"/>
  <c r="Y11" i="824"/>
  <c r="Z11" i="824"/>
  <c r="AA11" i="824"/>
  <c r="AB11" i="824"/>
  <c r="AC11" i="824"/>
  <c r="AD11" i="824"/>
  <c r="AH11" i="824"/>
  <c r="AI11" i="824"/>
  <c r="AJ11" i="824" a="1"/>
  <c r="AK11" i="824"/>
  <c r="AL11" i="824"/>
  <c r="U12" i="824" a="1"/>
  <c r="V12" i="824"/>
  <c r="W12" i="824"/>
  <c r="X12" i="824"/>
  <c r="Y12" i="824"/>
  <c r="Z12" i="824"/>
  <c r="AA12" i="824"/>
  <c r="AB12" i="824"/>
  <c r="AC12" i="824"/>
  <c r="AD12" i="824"/>
  <c r="AH12" i="824"/>
  <c r="AI12" i="824"/>
  <c r="AJ12" i="824" a="1"/>
  <c r="AK12" i="824"/>
  <c r="AL12" i="824"/>
  <c r="U13" i="824" a="1"/>
  <c r="V13" i="824"/>
  <c r="X13" i="824"/>
  <c r="Y13" i="824"/>
  <c r="Z13" i="824"/>
  <c r="AA13" i="824"/>
  <c r="AB13" i="824"/>
  <c r="AC13" i="824"/>
  <c r="AD13" i="824"/>
  <c r="AH13" i="824"/>
  <c r="AI13" i="824"/>
  <c r="AJ13" i="824" a="1"/>
  <c r="AK13" i="824"/>
  <c r="AL13" i="824"/>
  <c r="U14" i="824" a="1"/>
  <c r="V14" i="824"/>
  <c r="W14" i="824"/>
  <c r="X14" i="824"/>
  <c r="Y14" i="824"/>
  <c r="Z14" i="824"/>
  <c r="AA14" i="824"/>
  <c r="AB14" i="824"/>
  <c r="AC14" i="824"/>
  <c r="AD14" i="824"/>
  <c r="AH14" i="824"/>
  <c r="AI14" i="824"/>
  <c r="AJ14" i="824" a="1"/>
  <c r="AK14" i="824"/>
  <c r="AL14" i="824"/>
  <c r="U15" i="824" a="1"/>
  <c r="V15" i="824"/>
  <c r="W15" i="824"/>
  <c r="X15" i="824"/>
  <c r="Y15" i="824"/>
  <c r="Z15" i="824"/>
  <c r="AA15" i="824"/>
  <c r="AB15" i="824"/>
  <c r="AC15" i="824"/>
  <c r="AD15" i="824"/>
  <c r="AH15" i="824"/>
  <c r="AI15" i="824"/>
  <c r="AJ15" i="824" a="1"/>
  <c r="AK15" i="824"/>
  <c r="AL15" i="824"/>
  <c r="U16" i="824" a="1"/>
  <c r="V16" i="824"/>
  <c r="W16" i="824"/>
  <c r="X16" i="824"/>
  <c r="Y16" i="824"/>
  <c r="Z16" i="824"/>
  <c r="AA16" i="824"/>
  <c r="AB16" i="824"/>
  <c r="AC16" i="824"/>
  <c r="AD16" i="824"/>
  <c r="AH16" i="824"/>
  <c r="AI16" i="824"/>
  <c r="AJ16" i="824" a="1"/>
  <c r="AK16" i="824"/>
  <c r="AL16" i="824"/>
  <c r="U17" i="824" a="1"/>
  <c r="V17" i="824"/>
  <c r="W17" i="824"/>
  <c r="X17" i="824"/>
  <c r="Y17" i="824"/>
  <c r="Z17" i="824"/>
  <c r="AA17" i="824"/>
  <c r="AB17" i="824"/>
  <c r="AC17" i="824"/>
  <c r="AD17" i="824"/>
  <c r="AH17" i="824"/>
  <c r="AI17" i="824"/>
  <c r="AJ17" i="824" a="1"/>
  <c r="AK17" i="824"/>
  <c r="AL17" i="824"/>
  <c r="U18" i="824" a="1"/>
  <c r="V18" i="824"/>
  <c r="W18" i="824"/>
  <c r="X18" i="824"/>
  <c r="Y18" i="824"/>
  <c r="Z18" i="824"/>
  <c r="AA18" i="824"/>
  <c r="AB18" i="824"/>
  <c r="AC18" i="824"/>
  <c r="AD18" i="824"/>
  <c r="AH18" i="824"/>
  <c r="AI18" i="824"/>
  <c r="AJ18" i="824" a="1"/>
  <c r="AK18" i="824"/>
  <c r="AL18" i="824"/>
  <c r="U19" i="824" a="1"/>
  <c r="V19" i="824"/>
  <c r="W19" i="824"/>
  <c r="X19" i="824"/>
  <c r="Y19" i="824"/>
  <c r="Z19" i="824"/>
  <c r="AA19" i="824"/>
  <c r="AB19" i="824"/>
  <c r="AC19" i="824"/>
  <c r="AD19" i="824"/>
  <c r="AE19" i="824"/>
  <c r="AH19" i="824"/>
  <c r="AI19" i="824"/>
  <c r="AJ19" i="824" a="1"/>
  <c r="AK19" i="824"/>
  <c r="AL19" i="824"/>
  <c r="U20" i="824" a="1"/>
  <c r="V20" i="824"/>
  <c r="W20" i="824"/>
  <c r="X20" i="824"/>
  <c r="Y20" i="824"/>
  <c r="Z20" i="824"/>
  <c r="AA20" i="824"/>
  <c r="AB20" i="824"/>
  <c r="AC20" i="824"/>
  <c r="AD20" i="824"/>
  <c r="AH20" i="824"/>
  <c r="AI20" i="824"/>
  <c r="AJ20" i="824" a="1"/>
  <c r="AK20" i="824"/>
  <c r="AL20" i="824"/>
  <c r="U21" i="824" a="1"/>
  <c r="V21" i="824"/>
  <c r="W21" i="824"/>
  <c r="X21" i="824"/>
  <c r="Y21" i="824"/>
  <c r="Z21" i="824"/>
  <c r="AA21" i="824"/>
  <c r="AB21" i="824"/>
  <c r="AC21" i="824"/>
  <c r="AD21" i="824"/>
  <c r="AH21" i="824"/>
  <c r="AI21" i="824"/>
  <c r="AJ21" i="824" a="1"/>
  <c r="AK21" i="824"/>
  <c r="AL21" i="824"/>
  <c r="U22" i="824" a="1"/>
  <c r="V22" i="824"/>
  <c r="W22" i="824"/>
  <c r="X22" i="824"/>
  <c r="Y22" i="824"/>
  <c r="Z22" i="824"/>
  <c r="AA22" i="824"/>
  <c r="AB22" i="824"/>
  <c r="AC22" i="824"/>
  <c r="AD22" i="824"/>
  <c r="AH22" i="824"/>
  <c r="AI22" i="824"/>
  <c r="AJ22" i="824" a="1"/>
  <c r="AK22" i="824"/>
  <c r="AL22" i="824"/>
  <c r="U23" i="824" a="1"/>
  <c r="V23" i="824"/>
  <c r="W23" i="824"/>
  <c r="X23" i="824"/>
  <c r="Y23" i="824"/>
  <c r="Z23" i="824"/>
  <c r="AA23" i="824"/>
  <c r="AB23" i="824"/>
  <c r="AC23" i="824"/>
  <c r="AD23" i="824"/>
  <c r="AH23" i="824"/>
  <c r="AI23" i="824"/>
  <c r="AJ23" i="824" a="1"/>
  <c r="AK23" i="824"/>
  <c r="AL23" i="824"/>
  <c r="U24" i="824" a="1"/>
  <c r="V24" i="824"/>
  <c r="W24" i="824"/>
  <c r="X24" i="824"/>
  <c r="Y24" i="824"/>
  <c r="Z24" i="824"/>
  <c r="AA24" i="824"/>
  <c r="AB24" i="824"/>
  <c r="AC24" i="824"/>
  <c r="AD24" i="824"/>
  <c r="AH24" i="824"/>
  <c r="AI24" i="824"/>
  <c r="AJ24" i="824" a="1"/>
  <c r="AK24" i="824"/>
  <c r="AL24" i="824"/>
  <c r="U25" i="824" a="1"/>
  <c r="V25" i="824"/>
  <c r="W25" i="824"/>
  <c r="X25" i="824"/>
  <c r="Y25" i="824"/>
  <c r="Z25" i="824"/>
  <c r="AA25" i="824"/>
  <c r="AB25" i="824"/>
  <c r="AC25" i="824"/>
  <c r="AD25" i="824"/>
  <c r="AE25" i="824"/>
  <c r="AH25" i="824"/>
  <c r="AI25" i="824"/>
  <c r="AJ25" i="824" a="1"/>
  <c r="AK25" i="824"/>
  <c r="AL25" i="824"/>
  <c r="U26" i="824" a="1"/>
  <c r="V26" i="824"/>
  <c r="W26" i="824"/>
  <c r="X26" i="824"/>
  <c r="Y26" i="824"/>
  <c r="Z26" i="824"/>
  <c r="AA26" i="824"/>
  <c r="AB26" i="824"/>
  <c r="AC26" i="824"/>
  <c r="AD26" i="824"/>
  <c r="AH26" i="824"/>
  <c r="AI26" i="824"/>
  <c r="AJ26" i="824" a="1"/>
  <c r="AK26" i="824"/>
  <c r="AL26" i="824"/>
  <c r="U27" i="824" a="1"/>
  <c r="V27" i="824"/>
  <c r="W27" i="824"/>
  <c r="X27" i="824"/>
  <c r="Y27" i="824"/>
  <c r="Z27" i="824"/>
  <c r="AA27" i="824"/>
  <c r="AB27" i="824"/>
  <c r="AC27" i="824"/>
  <c r="AD27" i="824"/>
  <c r="AH27" i="824"/>
  <c r="AI27" i="824"/>
  <c r="AJ27" i="824" a="1"/>
  <c r="AK27" i="824"/>
  <c r="AL27" i="824"/>
  <c r="U28" i="824" a="1"/>
  <c r="V28" i="824"/>
  <c r="W28" i="824"/>
  <c r="X28" i="824"/>
  <c r="Y28" i="824"/>
  <c r="Z28" i="824"/>
  <c r="AA28" i="824"/>
  <c r="AB28" i="824"/>
  <c r="AC28" i="824"/>
  <c r="AD28" i="824"/>
  <c r="AH28" i="824"/>
  <c r="AI28" i="824"/>
  <c r="AJ28" i="824" a="1"/>
  <c r="AK28" i="824"/>
  <c r="AL28" i="824"/>
  <c r="U29" i="824" a="1"/>
  <c r="V29" i="824"/>
  <c r="W29" i="824"/>
  <c r="X29" i="824"/>
  <c r="Y29" i="824"/>
  <c r="Z29" i="824"/>
  <c r="AA29" i="824"/>
  <c r="AB29" i="824"/>
  <c r="AC29" i="824"/>
  <c r="AD29" i="824"/>
  <c r="AH29" i="824"/>
  <c r="AI29" i="824"/>
  <c r="AJ29" i="824" a="1"/>
  <c r="AK29" i="824"/>
  <c r="AL29" i="824"/>
  <c r="U30" i="824" a="1"/>
  <c r="V30" i="824"/>
  <c r="W30" i="824"/>
  <c r="X30" i="824"/>
  <c r="Y30" i="824"/>
  <c r="Z30" i="824"/>
  <c r="AA30" i="824"/>
  <c r="AB30" i="824"/>
  <c r="AC30" i="824"/>
  <c r="AD30" i="824"/>
  <c r="AH30" i="824"/>
  <c r="AI30" i="824"/>
  <c r="AJ30" i="824" a="1"/>
  <c r="AK30" i="824"/>
  <c r="AL30" i="824"/>
  <c r="U31" i="824" a="1"/>
  <c r="V31" i="824"/>
  <c r="W31" i="824"/>
  <c r="X31" i="824"/>
  <c r="Y31" i="824"/>
  <c r="Z31" i="824"/>
  <c r="AA31" i="824"/>
  <c r="AB31" i="824"/>
  <c r="AC31" i="824"/>
  <c r="AD31" i="824"/>
  <c r="AH31" i="824"/>
  <c r="AI31" i="824"/>
  <c r="AJ31" i="824" a="1"/>
  <c r="AK31" i="824"/>
  <c r="AL31" i="824"/>
  <c r="U32" i="824" a="1"/>
  <c r="V32" i="824"/>
  <c r="W32" i="824"/>
  <c r="X32" i="824"/>
  <c r="Y32" i="824"/>
  <c r="Z32" i="824"/>
  <c r="AA32" i="824"/>
  <c r="AB32" i="824"/>
  <c r="AC32" i="824"/>
  <c r="AD32" i="824"/>
  <c r="AH32" i="824"/>
  <c r="AI32" i="824"/>
  <c r="AJ32" i="824" a="1"/>
  <c r="AK32" i="824"/>
  <c r="AL32" i="824"/>
  <c r="U33" i="824" a="1"/>
  <c r="V33" i="824"/>
  <c r="W33" i="824"/>
  <c r="X33" i="824"/>
  <c r="Y33" i="824"/>
  <c r="Z33" i="824"/>
  <c r="AA33" i="824"/>
  <c r="AB33" i="824"/>
  <c r="AC33" i="824"/>
  <c r="AD33" i="824"/>
  <c r="AH33" i="824"/>
  <c r="AI33" i="824"/>
  <c r="AJ33" i="824" a="1"/>
  <c r="AK33" i="824"/>
  <c r="AL33" i="824"/>
  <c r="U34" i="824" a="1"/>
  <c r="V34" i="824"/>
  <c r="W34" i="824"/>
  <c r="X34" i="824"/>
  <c r="Y34" i="824"/>
  <c r="Z34" i="824"/>
  <c r="AA34" i="824"/>
  <c r="AB34" i="824"/>
  <c r="AC34" i="824"/>
  <c r="AD34" i="824"/>
  <c r="AH34" i="824"/>
  <c r="AI34" i="824"/>
  <c r="AJ34" i="824" a="1"/>
  <c r="AK34" i="824"/>
  <c r="AL34" i="824"/>
  <c r="U35" i="824" a="1"/>
  <c r="V35" i="824"/>
  <c r="W35" i="824"/>
  <c r="X35" i="824"/>
  <c r="Y35" i="824"/>
  <c r="Z35" i="824"/>
  <c r="AA35" i="824"/>
  <c r="AB35" i="824"/>
  <c r="AC35" i="824"/>
  <c r="AD35" i="824"/>
  <c r="AH35" i="824"/>
  <c r="AI35" i="824"/>
  <c r="AJ35" i="824" a="1"/>
  <c r="AK35" i="824"/>
  <c r="AL35" i="824"/>
  <c r="U36" i="824" a="1"/>
  <c r="V36" i="824"/>
  <c r="W36" i="824"/>
  <c r="X36" i="824"/>
  <c r="Y36" i="824"/>
  <c r="Z36" i="824"/>
  <c r="AA36" i="824"/>
  <c r="AB36" i="824"/>
  <c r="AC36" i="824"/>
  <c r="AD36" i="824"/>
  <c r="AH36" i="824"/>
  <c r="AI36" i="824"/>
  <c r="AJ36" i="824" a="1"/>
  <c r="AK36" i="824"/>
  <c r="AL36" i="824"/>
  <c r="U37" i="824" a="1"/>
  <c r="V37" i="824"/>
  <c r="W37" i="824"/>
  <c r="X37" i="824"/>
  <c r="Y37" i="824"/>
  <c r="Z37" i="824"/>
  <c r="AA37" i="824"/>
  <c r="AB37" i="824"/>
  <c r="AC37" i="824"/>
  <c r="AD37" i="824"/>
  <c r="AH37" i="824"/>
  <c r="AJ37" i="824" a="1"/>
  <c r="AK37" i="824"/>
  <c r="AL37" i="824"/>
  <c r="U38" i="824" a="1"/>
  <c r="V38" i="824"/>
  <c r="W38" i="824"/>
  <c r="X38" i="824"/>
  <c r="Y38" i="824"/>
  <c r="Z38" i="824"/>
  <c r="AA38" i="824"/>
  <c r="AB38" i="824"/>
  <c r="AC38" i="824"/>
  <c r="AD38" i="824"/>
  <c r="AH38" i="824"/>
  <c r="AI38" i="824"/>
  <c r="AJ38" i="824" a="1"/>
  <c r="AK38" i="824"/>
  <c r="AL38" i="824"/>
  <c r="U39" i="824" a="1"/>
  <c r="V39" i="824"/>
  <c r="W39" i="824"/>
  <c r="X39" i="824"/>
  <c r="Y39" i="824"/>
  <c r="Z39" i="824"/>
  <c r="AA39" i="824"/>
  <c r="AB39" i="824"/>
  <c r="AC39" i="824"/>
  <c r="AD39" i="824"/>
  <c r="AH39" i="824"/>
  <c r="AI39" i="824"/>
  <c r="AJ39" i="824" a="1"/>
  <c r="AK39" i="824"/>
  <c r="AL39" i="824"/>
  <c r="U40" i="824" a="1"/>
  <c r="V40" i="824"/>
  <c r="W40" i="824"/>
  <c r="X40" i="824"/>
  <c r="Y40" i="824"/>
  <c r="Z40" i="824"/>
  <c r="AA40" i="824"/>
  <c r="AB40" i="824"/>
  <c r="AC40" i="824"/>
  <c r="AD40" i="824"/>
  <c r="AH40" i="824"/>
  <c r="AI40" i="824"/>
  <c r="AJ40" i="824" a="1"/>
  <c r="AK40" i="824"/>
  <c r="AL40" i="824"/>
  <c r="U41" i="824" a="1"/>
  <c r="V41" i="824"/>
  <c r="W41" i="824"/>
  <c r="X41" i="824"/>
  <c r="Y41" i="824"/>
  <c r="Z41" i="824"/>
  <c r="AA41" i="824"/>
  <c r="AB41" i="824"/>
  <c r="AC41" i="824"/>
  <c r="AD41" i="824"/>
  <c r="AH41" i="824"/>
  <c r="AI41" i="824"/>
  <c r="AJ41" i="824" a="1"/>
  <c r="AK41" i="824"/>
  <c r="AL41" i="824"/>
  <c r="U42" i="824" a="1"/>
  <c r="V42" i="824"/>
  <c r="W42" i="824"/>
  <c r="X42" i="824"/>
  <c r="Y42" i="824"/>
  <c r="Z42" i="824"/>
  <c r="AA42" i="824"/>
  <c r="AB42" i="824"/>
  <c r="AC42" i="824"/>
  <c r="AD42" i="824"/>
  <c r="AE42" i="824"/>
  <c r="AH42" i="824"/>
  <c r="AI42" i="824"/>
  <c r="AJ42" i="824" a="1"/>
  <c r="AK42" i="824"/>
  <c r="AL42" i="824"/>
  <c r="U43" i="824" a="1"/>
  <c r="V43" i="824"/>
  <c r="W43" i="824"/>
  <c r="X43" i="824"/>
  <c r="Y43" i="824"/>
  <c r="Z43" i="824"/>
  <c r="AA43" i="824"/>
  <c r="AB43" i="824"/>
  <c r="AC43" i="824"/>
  <c r="AD43" i="824"/>
  <c r="AH43" i="824"/>
  <c r="AI43" i="824"/>
  <c r="AJ43" i="824" a="1"/>
  <c r="AK43" i="824"/>
  <c r="AL43" i="824"/>
  <c r="U44" i="824" a="1"/>
  <c r="V44" i="824"/>
  <c r="W44" i="824"/>
  <c r="X44" i="824"/>
  <c r="Y44" i="824"/>
  <c r="Z44" i="824"/>
  <c r="AA44" i="824"/>
  <c r="AB44" i="824"/>
  <c r="AC44" i="824"/>
  <c r="AD44" i="824"/>
  <c r="AH44" i="824"/>
  <c r="AI44" i="824"/>
  <c r="AJ44" i="824" a="1"/>
  <c r="AK44" i="824"/>
  <c r="AL44" i="824"/>
  <c r="U45" i="824" a="1"/>
  <c r="V45" i="824"/>
  <c r="W45" i="824"/>
  <c r="X45" i="824"/>
  <c r="Y45" i="824"/>
  <c r="Z45" i="824"/>
  <c r="AA45" i="824"/>
  <c r="AB45" i="824"/>
  <c r="AC45" i="824"/>
  <c r="AD45" i="824"/>
  <c r="AH45" i="824"/>
  <c r="AI45" i="824"/>
  <c r="AJ45" i="824" a="1"/>
  <c r="AK45" i="824"/>
  <c r="AL45" i="824"/>
  <c r="U46" i="824" a="1"/>
  <c r="V46" i="824"/>
  <c r="W46" i="824"/>
  <c r="X46" i="824"/>
  <c r="Y46" i="824"/>
  <c r="Z46" i="824"/>
  <c r="AA46" i="824"/>
  <c r="AB46" i="824"/>
  <c r="AC46" i="824"/>
  <c r="AD46" i="824"/>
  <c r="AH46" i="824"/>
  <c r="AI46" i="824"/>
  <c r="AJ46" i="824" a="1"/>
  <c r="AK46" i="824"/>
  <c r="AL46" i="824"/>
  <c r="U47" i="824" a="1"/>
  <c r="V47" i="824"/>
  <c r="W47" i="824"/>
  <c r="X47" i="824"/>
  <c r="Y47" i="824"/>
  <c r="Z47" i="824"/>
  <c r="AA47" i="824"/>
  <c r="AB47" i="824"/>
  <c r="AC47" i="824"/>
  <c r="AD47" i="824"/>
  <c r="AH47" i="824"/>
  <c r="AI47" i="824"/>
  <c r="AJ47" i="824" a="1"/>
  <c r="AK47" i="824"/>
  <c r="AL47" i="824"/>
  <c r="U48" i="824" a="1"/>
  <c r="V48" i="824"/>
  <c r="W48" i="824"/>
  <c r="X48" i="824"/>
  <c r="Y48" i="824"/>
  <c r="Z48" i="824"/>
  <c r="AA48" i="824"/>
  <c r="AB48" i="824"/>
  <c r="AC48" i="824"/>
  <c r="AD48" i="824"/>
  <c r="AH48" i="824"/>
  <c r="AI48" i="824"/>
  <c r="AJ48" i="824" a="1"/>
  <c r="AK48" i="824"/>
  <c r="AL48" i="824"/>
  <c r="U49" i="824" a="1"/>
  <c r="V49" i="824"/>
  <c r="W49" i="824"/>
  <c r="X49" i="824"/>
  <c r="Y49" i="824"/>
  <c r="Z49" i="824"/>
  <c r="AA49" i="824"/>
  <c r="AB49" i="824"/>
  <c r="AC49" i="824"/>
  <c r="AD49" i="824"/>
  <c r="AH49" i="824"/>
  <c r="AI49" i="824"/>
  <c r="AJ49" i="824" a="1"/>
  <c r="AK49" i="824"/>
  <c r="AL49" i="824"/>
  <c r="U50" i="824" a="1"/>
  <c r="V50" i="824"/>
  <c r="W50" i="824"/>
  <c r="X50" i="824"/>
  <c r="Y50" i="824"/>
  <c r="Z50" i="824"/>
  <c r="AA50" i="824"/>
  <c r="AB50" i="824"/>
  <c r="AC50" i="824"/>
  <c r="AD50" i="824"/>
  <c r="AH50" i="824"/>
  <c r="AI50" i="824"/>
  <c r="AJ50" i="824" a="1"/>
  <c r="AK50" i="824"/>
  <c r="AL50" i="824"/>
  <c r="U51" i="824" a="1"/>
  <c r="V51" i="824"/>
  <c r="W51" i="824"/>
  <c r="X51" i="824"/>
  <c r="Y51" i="824"/>
  <c r="Z51" i="824"/>
  <c r="AA51" i="824"/>
  <c r="AB51" i="824"/>
  <c r="AC51" i="824"/>
  <c r="AD51" i="824"/>
  <c r="AH51" i="824"/>
  <c r="AI51" i="824"/>
  <c r="AJ51" i="824" a="1"/>
  <c r="AK51" i="824"/>
  <c r="AL51" i="824"/>
  <c r="U52" i="824" a="1"/>
  <c r="V52" i="824"/>
  <c r="W52" i="824"/>
  <c r="X52" i="824"/>
  <c r="Y52" i="824"/>
  <c r="Z52" i="824"/>
  <c r="AA52" i="824"/>
  <c r="AB52" i="824"/>
  <c r="AC52" i="824"/>
  <c r="AD52" i="824"/>
  <c r="AH52" i="824"/>
  <c r="AI52" i="824"/>
  <c r="AJ52" i="824" a="1"/>
  <c r="AK52" i="824"/>
  <c r="AL52" i="824"/>
  <c r="U53" i="824" a="1"/>
  <c r="V53" i="824"/>
  <c r="W53" i="824"/>
  <c r="X53" i="824"/>
  <c r="Y53" i="824"/>
  <c r="Z53" i="824"/>
  <c r="AA53" i="824"/>
  <c r="AB53" i="824"/>
  <c r="AC53" i="824"/>
  <c r="AD53" i="824"/>
  <c r="AH53" i="824"/>
  <c r="AJ53" i="824" a="1"/>
  <c r="AK53" i="824"/>
  <c r="AL53" i="824"/>
  <c r="U54" i="824" a="1"/>
  <c r="V54" i="824"/>
  <c r="W54" i="824"/>
  <c r="X54" i="824"/>
  <c r="Y54" i="824"/>
  <c r="Z54" i="824"/>
  <c r="AA54" i="824"/>
  <c r="AB54" i="824"/>
  <c r="AC54" i="824"/>
  <c r="AD54" i="824"/>
  <c r="AH54" i="824"/>
  <c r="AI54" i="824"/>
  <c r="AJ54" i="824" a="1"/>
  <c r="AK54" i="824"/>
  <c r="AL54" i="824"/>
  <c r="U55" i="824" a="1"/>
  <c r="V55" i="824"/>
  <c r="W55" i="824"/>
  <c r="X55" i="824"/>
  <c r="Y55" i="824"/>
  <c r="Z55" i="824"/>
  <c r="AA55" i="824"/>
  <c r="AB55" i="824"/>
  <c r="AC55" i="824"/>
  <c r="AD55" i="824"/>
  <c r="AH55" i="824"/>
  <c r="AI55" i="824"/>
  <c r="AJ55" i="824" a="1"/>
  <c r="AK55" i="824"/>
  <c r="AL55" i="824"/>
  <c r="U56" i="824" a="1"/>
  <c r="V56" i="824"/>
  <c r="W56" i="824"/>
  <c r="X56" i="824"/>
  <c r="Y56" i="824"/>
  <c r="Z56" i="824"/>
  <c r="AA56" i="824"/>
  <c r="AB56" i="824"/>
  <c r="AC56" i="824"/>
  <c r="AD56" i="824"/>
  <c r="AH56" i="824"/>
  <c r="AI56" i="824"/>
  <c r="AJ56" i="824" a="1"/>
  <c r="AK56" i="824"/>
  <c r="AL56" i="824"/>
  <c r="U57" i="824" a="1"/>
  <c r="V57" i="824"/>
  <c r="W57" i="824"/>
  <c r="X57" i="824"/>
  <c r="Y57" i="824"/>
  <c r="Z57" i="824"/>
  <c r="AA57" i="824"/>
  <c r="AB57" i="824"/>
  <c r="AC57" i="824"/>
  <c r="AD57" i="824"/>
  <c r="AH57" i="824"/>
  <c r="AI57" i="824"/>
  <c r="AJ57" i="824" a="1"/>
  <c r="AK57" i="824"/>
  <c r="AL57" i="824"/>
  <c r="U58" i="824" a="1"/>
  <c r="V58" i="824"/>
  <c r="W58" i="824"/>
  <c r="X58" i="824"/>
  <c r="Y58" i="824"/>
  <c r="Z58" i="824"/>
  <c r="AA58" i="824"/>
  <c r="AB58" i="824"/>
  <c r="AC58" i="824"/>
  <c r="AD58" i="824"/>
  <c r="AH58" i="824"/>
  <c r="AI58" i="824"/>
  <c r="AJ58" i="824" a="1"/>
  <c r="AK58" i="824"/>
  <c r="AL58" i="824"/>
  <c r="U59" i="824" a="1"/>
  <c r="V59" i="824"/>
  <c r="W59" i="824"/>
  <c r="X59" i="824"/>
  <c r="Y59" i="824"/>
  <c r="Z59" i="824"/>
  <c r="AA59" i="824"/>
  <c r="AB59" i="824"/>
  <c r="AC59" i="824"/>
  <c r="AD59" i="824"/>
  <c r="AH59" i="824"/>
  <c r="AI59" i="824"/>
  <c r="AJ59" i="824" a="1"/>
  <c r="AK59" i="824"/>
  <c r="AL59" i="824"/>
  <c r="U60" i="824" a="1"/>
  <c r="V60" i="824"/>
  <c r="W60" i="824"/>
  <c r="X60" i="824"/>
  <c r="Y60" i="824"/>
  <c r="Z60" i="824"/>
  <c r="AA60" i="824"/>
  <c r="AB60" i="824"/>
  <c r="AC60" i="824"/>
  <c r="AD60" i="824"/>
  <c r="AH60" i="824"/>
  <c r="AI60" i="824"/>
  <c r="AJ60" i="824" a="1"/>
  <c r="AK60" i="824"/>
  <c r="AL60" i="824"/>
  <c r="U61" i="824" a="1"/>
  <c r="V61" i="824"/>
  <c r="W61" i="824"/>
  <c r="X61" i="824"/>
  <c r="Y61" i="824"/>
  <c r="Z61" i="824"/>
  <c r="AA61" i="824"/>
  <c r="AB61" i="824"/>
  <c r="AC61" i="824"/>
  <c r="AD61" i="824"/>
  <c r="AH61" i="824"/>
  <c r="AI61" i="824"/>
  <c r="AJ61" i="824" a="1"/>
  <c r="AK61" i="824"/>
  <c r="AL61" i="824"/>
  <c r="U62" i="824" a="1"/>
  <c r="V62" i="824"/>
  <c r="W62" i="824"/>
  <c r="X62" i="824"/>
  <c r="Y62" i="824"/>
  <c r="Z62" i="824"/>
  <c r="AA62" i="824"/>
  <c r="AB62" i="824"/>
  <c r="AC62" i="824"/>
  <c r="AD62" i="824"/>
  <c r="AH62" i="824"/>
  <c r="AJ62" i="824" a="1"/>
  <c r="AK62" i="824"/>
  <c r="AL62" i="824"/>
  <c r="U63" i="824" a="1"/>
  <c r="V63" i="824"/>
  <c r="W63" i="824"/>
  <c r="X63" i="824"/>
  <c r="Y63" i="824"/>
  <c r="Z63" i="824"/>
  <c r="AA63" i="824"/>
  <c r="AB63" i="824"/>
  <c r="AC63" i="824"/>
  <c r="AD63" i="824"/>
  <c r="AH63" i="824"/>
  <c r="AI63" i="824"/>
  <c r="AJ63" i="824" a="1"/>
  <c r="AK63" i="824"/>
  <c r="AL63" i="824"/>
  <c r="U64" i="824" a="1"/>
  <c r="V64" i="824"/>
  <c r="W64" i="824"/>
  <c r="X64" i="824"/>
  <c r="Y64" i="824"/>
  <c r="Z64" i="824"/>
  <c r="AA64" i="824"/>
  <c r="AB64" i="824"/>
  <c r="AC64" i="824"/>
  <c r="AD64" i="824"/>
  <c r="AH64" i="824"/>
  <c r="AI64" i="824"/>
  <c r="AJ64" i="824" a="1"/>
  <c r="AK64" i="824"/>
  <c r="AL64" i="824"/>
  <c r="U65" i="824" a="1"/>
  <c r="V65" i="824"/>
  <c r="W65" i="824"/>
  <c r="X65" i="824"/>
  <c r="Y65" i="824"/>
  <c r="Z65" i="824"/>
  <c r="AA65" i="824"/>
  <c r="AB65" i="824"/>
  <c r="AC65" i="824"/>
  <c r="AD65" i="824"/>
  <c r="AH65" i="824"/>
  <c r="AI65" i="824"/>
  <c r="AJ65" i="824" a="1"/>
  <c r="AK65" i="824"/>
  <c r="AL65" i="824"/>
  <c r="U66" i="824" a="1"/>
  <c r="V66" i="824"/>
  <c r="W66" i="824"/>
  <c r="X66" i="824"/>
  <c r="Y66" i="824"/>
  <c r="Z66" i="824"/>
  <c r="AA66" i="824"/>
  <c r="AB66" i="824"/>
  <c r="AC66" i="824"/>
  <c r="AD66" i="824"/>
  <c r="AH66" i="824"/>
  <c r="AI66" i="824"/>
  <c r="AJ66" i="824" a="1"/>
  <c r="AK66" i="824"/>
  <c r="AL66" i="824"/>
  <c r="U67" i="824" a="1"/>
  <c r="V67" i="824"/>
  <c r="W67" i="824"/>
  <c r="X67" i="824"/>
  <c r="Y67" i="824"/>
  <c r="Z67" i="824"/>
  <c r="AA67" i="824"/>
  <c r="AB67" i="824"/>
  <c r="AC67" i="824"/>
  <c r="AD67" i="824"/>
  <c r="AH67" i="824"/>
  <c r="AI67" i="824"/>
  <c r="AJ67" i="824" a="1"/>
  <c r="AK67" i="824"/>
  <c r="AL67" i="824"/>
  <c r="U68" i="824" a="1"/>
  <c r="V68" i="824"/>
  <c r="W68" i="824"/>
  <c r="X68" i="824"/>
  <c r="Y68" i="824"/>
  <c r="Z68" i="824"/>
  <c r="AA68" i="824"/>
  <c r="AB68" i="824"/>
  <c r="AC68" i="824"/>
  <c r="AD68" i="824"/>
  <c r="AH68" i="824"/>
  <c r="AI68" i="824"/>
  <c r="AJ68" i="824" a="1"/>
  <c r="AK68" i="824"/>
  <c r="AL68" i="824"/>
  <c r="U69" i="824" a="1"/>
  <c r="V69" i="824"/>
  <c r="W69" i="824"/>
  <c r="X69" i="824"/>
  <c r="Y69" i="824"/>
  <c r="Z69" i="824"/>
  <c r="AA69" i="824"/>
  <c r="AB69" i="824"/>
  <c r="AC69" i="824"/>
  <c r="AD69" i="824"/>
  <c r="AH69" i="824"/>
  <c r="AI69" i="824"/>
  <c r="AJ69" i="824" a="1"/>
  <c r="AK69" i="824"/>
  <c r="AL69" i="824"/>
  <c r="U70" i="824" a="1"/>
  <c r="V70" i="824"/>
  <c r="W70" i="824"/>
  <c r="X70" i="824"/>
  <c r="Y70" i="824"/>
  <c r="Z70" i="824"/>
  <c r="AA70" i="824"/>
  <c r="AB70" i="824"/>
  <c r="AC70" i="824"/>
  <c r="AD70" i="824"/>
  <c r="AH70" i="824"/>
  <c r="AI70" i="824"/>
  <c r="AJ70" i="824" a="1"/>
  <c r="AK70" i="824"/>
  <c r="AL70" i="824"/>
  <c r="U71" i="824" a="1"/>
  <c r="V71" i="824"/>
  <c r="W71" i="824"/>
  <c r="X71" i="824"/>
  <c r="Y71" i="824"/>
  <c r="Z71" i="824"/>
  <c r="AA71" i="824"/>
  <c r="AB71" i="824"/>
  <c r="AC71" i="824"/>
  <c r="AD71" i="824"/>
  <c r="AH71" i="824"/>
  <c r="AI71" i="824"/>
  <c r="AJ71" i="824" a="1"/>
  <c r="AK71" i="824"/>
  <c r="AL71" i="824"/>
  <c r="U72" i="824" a="1"/>
  <c r="V72" i="824"/>
  <c r="W72" i="824"/>
  <c r="X72" i="824"/>
  <c r="Y72" i="824"/>
  <c r="Z72" i="824"/>
  <c r="AA72" i="824"/>
  <c r="AB72" i="824"/>
  <c r="AC72" i="824"/>
  <c r="AD72" i="824"/>
  <c r="AH72" i="824"/>
  <c r="AI72" i="824"/>
  <c r="AJ72" i="824" a="1"/>
  <c r="AK72" i="824"/>
  <c r="AL72" i="824"/>
  <c r="U73" i="824" a="1"/>
  <c r="V73" i="824"/>
  <c r="W73" i="824"/>
  <c r="X73" i="824"/>
  <c r="Y73" i="824"/>
  <c r="Z73" i="824"/>
  <c r="AA73" i="824"/>
  <c r="AB73" i="824"/>
  <c r="AC73" i="824"/>
  <c r="AD73" i="824"/>
  <c r="AH73" i="824"/>
  <c r="AI73" i="824"/>
  <c r="AJ73" i="824" a="1"/>
  <c r="AK73" i="824"/>
  <c r="AL73" i="824"/>
  <c r="U74" i="824" a="1"/>
  <c r="V74" i="824"/>
  <c r="W74" i="824"/>
  <c r="X74" i="824"/>
  <c r="Y74" i="824"/>
  <c r="Z74" i="824"/>
  <c r="AA74" i="824"/>
  <c r="AB74" i="824"/>
  <c r="AC74" i="824"/>
  <c r="AD74" i="824"/>
  <c r="AH74" i="824"/>
  <c r="AI74" i="824"/>
  <c r="AJ74" i="824" a="1"/>
  <c r="AK74" i="824"/>
  <c r="AL74" i="824"/>
  <c r="U75" i="824" a="1"/>
  <c r="V75" i="824"/>
  <c r="W75" i="824"/>
  <c r="X75" i="824"/>
  <c r="Y75" i="824"/>
  <c r="Z75" i="824"/>
  <c r="AA75" i="824"/>
  <c r="AB75" i="824"/>
  <c r="AC75" i="824"/>
  <c r="AD75" i="824"/>
  <c r="AH75" i="824"/>
  <c r="AI75" i="824"/>
  <c r="AJ75" i="824" a="1"/>
  <c r="AK75" i="824"/>
  <c r="AL75" i="824"/>
  <c r="U76" i="824" a="1"/>
  <c r="V76" i="824"/>
  <c r="W76" i="824"/>
  <c r="X76" i="824"/>
  <c r="Y76" i="824"/>
  <c r="Z76" i="824"/>
  <c r="AA76" i="824"/>
  <c r="AB76" i="824"/>
  <c r="AC76" i="824"/>
  <c r="AD76" i="824"/>
  <c r="AH76" i="824"/>
  <c r="AI76" i="824"/>
  <c r="AJ76" i="824" a="1"/>
  <c r="AK76" i="824"/>
  <c r="AL76" i="824"/>
  <c r="U77" i="824" a="1"/>
  <c r="V77" i="824"/>
  <c r="W77" i="824"/>
  <c r="X77" i="824"/>
  <c r="Y77" i="824"/>
  <c r="Z77" i="824"/>
  <c r="AA77" i="824"/>
  <c r="AB77" i="824"/>
  <c r="AC77" i="824"/>
  <c r="AD77" i="824"/>
  <c r="AH77" i="824"/>
  <c r="AI77" i="824"/>
  <c r="AJ77" i="824" a="1"/>
  <c r="AK77" i="824"/>
  <c r="AL77" i="824"/>
  <c r="U78" i="824" a="1"/>
  <c r="V78" i="824"/>
  <c r="W78" i="824"/>
  <c r="X78" i="824"/>
  <c r="Y78" i="824"/>
  <c r="Z78" i="824"/>
  <c r="AA78" i="824"/>
  <c r="AB78" i="824"/>
  <c r="AC78" i="824"/>
  <c r="AD78" i="824"/>
  <c r="AH78" i="824"/>
  <c r="AI78" i="824"/>
  <c r="AJ78" i="824" a="1"/>
  <c r="AK78" i="824"/>
  <c r="AL78" i="824"/>
  <c r="U79" i="824" a="1"/>
  <c r="V79" i="824"/>
  <c r="W79" i="824"/>
  <c r="X79" i="824"/>
  <c r="Y79" i="824"/>
  <c r="Z79" i="824"/>
  <c r="AA79" i="824"/>
  <c r="AB79" i="824"/>
  <c r="AC79" i="824"/>
  <c r="AD79" i="824"/>
  <c r="AH79" i="824"/>
  <c r="AI79" i="824"/>
  <c r="AJ79" i="824" a="1"/>
  <c r="AK79" i="824"/>
  <c r="AL79" i="824"/>
  <c r="U80" i="824" a="1"/>
  <c r="V80" i="824"/>
  <c r="W80" i="824"/>
  <c r="X80" i="824"/>
  <c r="Y80" i="824"/>
  <c r="Z80" i="824"/>
  <c r="AA80" i="824"/>
  <c r="AB80" i="824"/>
  <c r="AC80" i="824"/>
  <c r="AD80" i="824"/>
  <c r="AH80" i="824"/>
  <c r="AI80" i="824"/>
  <c r="AJ80" i="824" a="1"/>
  <c r="AK80" i="824"/>
  <c r="AL80" i="824"/>
  <c r="U81" i="824" a="1"/>
  <c r="V81" i="824"/>
  <c r="W81" i="824"/>
  <c r="X81" i="824"/>
  <c r="Y81" i="824"/>
  <c r="Z81" i="824"/>
  <c r="AA81" i="824"/>
  <c r="AB81" i="824"/>
  <c r="AC81" i="824"/>
  <c r="AD81" i="824"/>
  <c r="AH81" i="824"/>
  <c r="AI81" i="824"/>
  <c r="AJ81" i="824" a="1"/>
  <c r="AK81" i="824"/>
  <c r="AL81" i="824"/>
  <c r="U82" i="824" a="1"/>
  <c r="V82" i="824"/>
  <c r="W82" i="824"/>
  <c r="X82" i="824"/>
  <c r="Y82" i="824"/>
  <c r="Z82" i="824"/>
  <c r="AA82" i="824"/>
  <c r="AB82" i="824"/>
  <c r="AC82" i="824"/>
  <c r="AD82" i="824"/>
  <c r="AH82" i="824"/>
  <c r="AI82" i="824"/>
  <c r="AK82" i="824"/>
  <c r="AL82" i="824"/>
  <c r="U83" i="824" a="1"/>
  <c r="V83" i="824"/>
  <c r="W83" i="824"/>
  <c r="X83" i="824"/>
  <c r="Y83" i="824"/>
  <c r="Z83" i="824"/>
  <c r="AA83" i="824"/>
  <c r="AB83" i="824"/>
  <c r="AC83" i="824"/>
  <c r="AD83" i="824"/>
  <c r="AH83" i="824"/>
  <c r="AI83" i="824"/>
  <c r="AJ83" i="824" a="1"/>
  <c r="AK83" i="824"/>
  <c r="AL83" i="824"/>
  <c r="U84" i="824" a="1"/>
  <c r="V84" i="824"/>
  <c r="W84" i="824"/>
  <c r="X84" i="824"/>
  <c r="Y84" i="824"/>
  <c r="Z84" i="824"/>
  <c r="AA84" i="824"/>
  <c r="AB84" i="824"/>
  <c r="AC84" i="824"/>
  <c r="AD84" i="824"/>
  <c r="AH84" i="824"/>
  <c r="AI84" i="824"/>
  <c r="AJ84" i="824" a="1"/>
  <c r="AK84" i="824"/>
  <c r="AL84" i="824"/>
  <c r="U85" i="824" a="1"/>
  <c r="V85" i="824"/>
  <c r="W85" i="824"/>
  <c r="X85" i="824"/>
  <c r="Y85" i="824"/>
  <c r="Z85" i="824"/>
  <c r="AA85" i="824"/>
  <c r="AB85" i="824"/>
  <c r="AC85" i="824"/>
  <c r="AD85" i="824"/>
  <c r="AH85" i="824"/>
  <c r="AI85" i="824"/>
  <c r="AJ85" i="824" a="1"/>
  <c r="AK85" i="824"/>
  <c r="AL85" i="824"/>
  <c r="U86" i="824" a="1"/>
  <c r="V86" i="824"/>
  <c r="W86" i="824"/>
  <c r="X86" i="824"/>
  <c r="Y86" i="824"/>
  <c r="Z86" i="824"/>
  <c r="AA86" i="824"/>
  <c r="AB86" i="824"/>
  <c r="AC86" i="824"/>
  <c r="AD86" i="824"/>
  <c r="AH86" i="824"/>
  <c r="AI86" i="824"/>
  <c r="AJ86" i="824" a="1"/>
  <c r="AK86" i="824"/>
  <c r="AL86" i="824"/>
  <c r="U87" i="824" a="1"/>
  <c r="V87" i="824"/>
  <c r="W87" i="824"/>
  <c r="X87" i="824"/>
  <c r="Y87" i="824"/>
  <c r="Z87" i="824"/>
  <c r="AA87" i="824"/>
  <c r="AB87" i="824"/>
  <c r="AC87" i="824"/>
  <c r="AD87" i="824"/>
  <c r="AH87" i="824"/>
  <c r="AI87" i="824"/>
  <c r="AJ87" i="824" a="1"/>
  <c r="AK87" i="824"/>
  <c r="AL87" i="824"/>
  <c r="AJ8" i="824" a="1"/>
  <c r="AK8" i="824"/>
  <c r="AL8" i="824"/>
  <c r="AA4" i="824"/>
  <c r="AC8" i="824"/>
  <c r="F8" i="824"/>
  <c r="G8" i="836"/>
  <c r="H2" i="783"/>
  <c r="R11" i="834"/>
  <c r="O12" i="834"/>
  <c r="P12" i="834"/>
  <c r="Q12" i="834"/>
  <c r="R12" i="834"/>
  <c r="W12" i="834"/>
  <c r="O13" i="834"/>
  <c r="P13" i="834"/>
  <c r="Q13" i="834"/>
  <c r="R13" i="834"/>
  <c r="W13" i="834"/>
  <c r="O14" i="834"/>
  <c r="P14" i="834"/>
  <c r="Q14" i="834"/>
  <c r="R14" i="834"/>
  <c r="W14" i="834"/>
  <c r="O15" i="834"/>
  <c r="P15" i="834"/>
  <c r="Q15" i="834"/>
  <c r="R15" i="834"/>
  <c r="W15" i="834"/>
  <c r="O16" i="834"/>
  <c r="P16" i="834"/>
  <c r="Q16" i="834"/>
  <c r="R16" i="834"/>
  <c r="W16" i="834"/>
  <c r="O17" i="834"/>
  <c r="P17" i="834"/>
  <c r="Q17" i="834"/>
  <c r="R17" i="834"/>
  <c r="W17" i="834"/>
  <c r="O18" i="834"/>
  <c r="P18" i="834"/>
  <c r="Q18" i="834"/>
  <c r="R18" i="834"/>
  <c r="W18" i="834"/>
  <c r="O19" i="834"/>
  <c r="P19" i="834"/>
  <c r="Q19" i="834"/>
  <c r="R19" i="834"/>
  <c r="W19" i="834"/>
  <c r="O20" i="834"/>
  <c r="P20" i="834"/>
  <c r="Q20" i="834"/>
  <c r="R20" i="834"/>
  <c r="W20" i="834"/>
  <c r="O21" i="834"/>
  <c r="P21" i="834"/>
  <c r="Q21" i="834"/>
  <c r="R21" i="834"/>
  <c r="W21" i="834"/>
  <c r="Z8" i="805" a="1"/>
  <c r="AQ8" i="825" a="1"/>
  <c r="Z8" i="825" a="1"/>
  <c r="G4" i="783"/>
  <c r="G3" i="783"/>
  <c r="G2" i="783"/>
  <c r="AK8" i="825"/>
  <c r="AP8" i="825" s="1"/>
  <c r="AL8" i="825" s="1"/>
  <c r="R10" i="834"/>
  <c r="AR8" i="805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AD8" i="805"/>
  <c r="H4" i="834"/>
  <c r="AT8" i="805" a="1"/>
  <c r="AP8" i="805" s="1"/>
  <c r="AO8" i="805" s="1"/>
  <c r="C10" i="834"/>
  <c r="C11" i="834" s="1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J4" i="834"/>
  <c r="I9" i="834" s="1"/>
  <c r="T9" i="834" s="1"/>
  <c r="AM8" i="805"/>
  <c r="AS8" i="805" s="1"/>
  <c r="F13" i="825"/>
  <c r="Z4" i="824"/>
  <c r="L4" i="808"/>
  <c r="K8" i="292"/>
  <c r="K9" i="292"/>
  <c r="K10" i="292"/>
  <c r="K11" i="292"/>
  <c r="K12" i="292"/>
  <c r="K13" i="292"/>
  <c r="K14" i="292"/>
  <c r="K15" i="292"/>
  <c r="K16" i="292"/>
  <c r="K17" i="292"/>
  <c r="K18" i="292"/>
  <c r="K19" i="292"/>
  <c r="K20" i="292"/>
  <c r="K21" i="292"/>
  <c r="K22" i="292"/>
  <c r="K7" i="292"/>
  <c r="Y11" i="825"/>
  <c r="Y12" i="825"/>
  <c r="Y13" i="825"/>
  <c r="Y14" i="825"/>
  <c r="Y15" i="825"/>
  <c r="Y16" i="825"/>
  <c r="Y17" i="825"/>
  <c r="Y18" i="825"/>
  <c r="Y19" i="825"/>
  <c r="Y20" i="825"/>
  <c r="Y21" i="825"/>
  <c r="Y22" i="825"/>
  <c r="Y23" i="825"/>
  <c r="Y24" i="825"/>
  <c r="Y25" i="825"/>
  <c r="Y26" i="825"/>
  <c r="Y27" i="825"/>
  <c r="Y28" i="825"/>
  <c r="Y29" i="825"/>
  <c r="Y30" i="825"/>
  <c r="Y31" i="825"/>
  <c r="Y32" i="825"/>
  <c r="Y33" i="825"/>
  <c r="Y34" i="825"/>
  <c r="Y35" i="825"/>
  <c r="Y36" i="825"/>
  <c r="Y37" i="825"/>
  <c r="Y38" i="825"/>
  <c r="Y39" i="825"/>
  <c r="Y40" i="825"/>
  <c r="Y41" i="825"/>
  <c r="Y42" i="825"/>
  <c r="Y43" i="825"/>
  <c r="Y44" i="825"/>
  <c r="Y45" i="825"/>
  <c r="Y46" i="825"/>
  <c r="Y47" i="825"/>
  <c r="Y48" i="825"/>
  <c r="Y49" i="825"/>
  <c r="Y50" i="825"/>
  <c r="Y51" i="825"/>
  <c r="Y52" i="825"/>
  <c r="Y53" i="825"/>
  <c r="Y54" i="825"/>
  <c r="Y55" i="825"/>
  <c r="Y56" i="825"/>
  <c r="Y57" i="825"/>
  <c r="Y58" i="825"/>
  <c r="Y59" i="825"/>
  <c r="Y60" i="825"/>
  <c r="Y61" i="825"/>
  <c r="Y62" i="825"/>
  <c r="Y63" i="825"/>
  <c r="Y64" i="825"/>
  <c r="Y65" i="825"/>
  <c r="Y66" i="825"/>
  <c r="Y67" i="825"/>
  <c r="Y68" i="825"/>
  <c r="Y69" i="825"/>
  <c r="Y70" i="825"/>
  <c r="Y71" i="825"/>
  <c r="Y72" i="825"/>
  <c r="Y73" i="825"/>
  <c r="Y74" i="825"/>
  <c r="Y75" i="825"/>
  <c r="Y76" i="825"/>
  <c r="Y77" i="825"/>
  <c r="Y78" i="825"/>
  <c r="Y79" i="825"/>
  <c r="Y80" i="825"/>
  <c r="Y81" i="825"/>
  <c r="Y82" i="825"/>
  <c r="Y83" i="825"/>
  <c r="Y84" i="825"/>
  <c r="Y85" i="825"/>
  <c r="Y86" i="825"/>
  <c r="Y87" i="825"/>
  <c r="B7" i="816"/>
  <c r="B34" i="816"/>
  <c r="B35" i="816"/>
  <c r="B36" i="816"/>
  <c r="B37" i="816"/>
  <c r="B38" i="816"/>
  <c r="B39" i="816"/>
  <c r="B40" i="816"/>
  <c r="B41" i="816"/>
  <c r="B42" i="816"/>
  <c r="B43" i="816"/>
  <c r="B44" i="816"/>
  <c r="B45" i="816"/>
  <c r="B46" i="816"/>
  <c r="B47" i="816"/>
  <c r="B48" i="816"/>
  <c r="B49" i="816"/>
  <c r="B50" i="816"/>
  <c r="B51" i="816"/>
  <c r="B52" i="816"/>
  <c r="B53" i="816"/>
  <c r="B54" i="816"/>
  <c r="B55" i="816"/>
  <c r="B56" i="816"/>
  <c r="B57" i="816"/>
  <c r="B58" i="816"/>
  <c r="B59" i="816"/>
  <c r="B60" i="816"/>
  <c r="B61" i="816"/>
  <c r="B62" i="816"/>
  <c r="B63" i="816"/>
  <c r="B64" i="816"/>
  <c r="B65" i="816"/>
  <c r="B66" i="816"/>
  <c r="B67" i="816"/>
  <c r="B68" i="816"/>
  <c r="B69" i="816"/>
  <c r="B70" i="816"/>
  <c r="B71" i="816"/>
  <c r="B72" i="816"/>
  <c r="B73" i="816"/>
  <c r="B74" i="816"/>
  <c r="B75" i="816"/>
  <c r="B76" i="816"/>
  <c r="B77" i="816"/>
  <c r="B78" i="816"/>
  <c r="B79" i="816"/>
  <c r="B80" i="816"/>
  <c r="B81" i="816"/>
  <c r="B82" i="816"/>
  <c r="B83" i="816"/>
  <c r="B84" i="816"/>
  <c r="B85" i="816"/>
  <c r="B86" i="816"/>
  <c r="B87" i="816"/>
  <c r="B88" i="816"/>
  <c r="B89" i="816"/>
  <c r="B90" i="816"/>
  <c r="B91" i="816"/>
  <c r="B92" i="816"/>
  <c r="B93" i="816"/>
  <c r="B94" i="816"/>
  <c r="B95" i="816"/>
  <c r="B96" i="816"/>
  <c r="B97" i="816"/>
  <c r="B98" i="816"/>
  <c r="B99" i="816"/>
  <c r="B100" i="816"/>
  <c r="B101" i="816"/>
  <c r="B102" i="816"/>
  <c r="B103" i="816"/>
  <c r="B104" i="816"/>
  <c r="B105" i="816"/>
  <c r="B106" i="816"/>
  <c r="B107" i="816"/>
  <c r="B108" i="816"/>
  <c r="B109" i="816"/>
  <c r="B110" i="816"/>
  <c r="B111" i="816"/>
  <c r="B112" i="816"/>
  <c r="B113" i="816"/>
  <c r="B114" i="816"/>
  <c r="B115" i="816"/>
  <c r="B116" i="816"/>
  <c r="B117" i="816"/>
  <c r="B118" i="816"/>
  <c r="B119" i="816"/>
  <c r="B120" i="816"/>
  <c r="B121" i="816"/>
  <c r="B122" i="816"/>
  <c r="B123" i="816"/>
  <c r="B124" i="816"/>
  <c r="B125" i="816"/>
  <c r="B126" i="816"/>
  <c r="B127" i="816"/>
  <c r="B128" i="816"/>
  <c r="B129" i="816"/>
  <c r="B130" i="816"/>
  <c r="B131" i="816"/>
  <c r="B132" i="816"/>
  <c r="B133" i="816"/>
  <c r="B134" i="816"/>
  <c r="B135" i="816"/>
  <c r="B136" i="816"/>
  <c r="B137" i="816"/>
  <c r="B138" i="816"/>
  <c r="B139" i="816"/>
  <c r="B140" i="816"/>
  <c r="B141" i="816"/>
  <c r="B142" i="816"/>
  <c r="B143" i="816"/>
  <c r="B144" i="816"/>
  <c r="B145" i="816"/>
  <c r="B146" i="816"/>
  <c r="B147" i="816"/>
  <c r="B148" i="816"/>
  <c r="B149" i="816"/>
  <c r="B150" i="816"/>
  <c r="B151" i="816"/>
  <c r="B152" i="816"/>
  <c r="B153" i="816"/>
  <c r="B154" i="816"/>
  <c r="B155" i="816"/>
  <c r="B156" i="816"/>
  <c r="B157" i="816"/>
  <c r="B158" i="816"/>
  <c r="B159" i="816"/>
  <c r="B160" i="816"/>
  <c r="B161" i="816"/>
  <c r="B162" i="816"/>
  <c r="B163" i="816"/>
  <c r="B164" i="816"/>
  <c r="B165" i="816"/>
  <c r="B166" i="816"/>
  <c r="B167" i="816"/>
  <c r="B168" i="816"/>
  <c r="B169" i="816"/>
  <c r="B170" i="816"/>
  <c r="B171" i="816"/>
  <c r="B172" i="816"/>
  <c r="B173" i="816"/>
  <c r="B174" i="816"/>
  <c r="B175" i="816"/>
  <c r="B176" i="816"/>
  <c r="B177" i="816"/>
  <c r="B178" i="816"/>
  <c r="B179" i="816"/>
  <c r="B180" i="816"/>
  <c r="B181" i="816"/>
  <c r="B182" i="816"/>
  <c r="B183" i="816"/>
  <c r="B184" i="816"/>
  <c r="B185" i="816"/>
  <c r="B186" i="816"/>
  <c r="B187" i="816"/>
  <c r="B188" i="816"/>
  <c r="B189" i="816"/>
  <c r="B190" i="816"/>
  <c r="B191" i="816"/>
  <c r="B192" i="816"/>
  <c r="B193" i="816"/>
  <c r="B194" i="816"/>
  <c r="B195" i="816"/>
  <c r="B196" i="816"/>
  <c r="B197" i="816"/>
  <c r="B198" i="816"/>
  <c r="B199" i="816"/>
  <c r="B200" i="816"/>
  <c r="B201" i="816"/>
  <c r="B202" i="816"/>
  <c r="B203" i="816"/>
  <c r="B204" i="816"/>
  <c r="B205" i="816"/>
  <c r="B206" i="816"/>
  <c r="B207" i="816"/>
  <c r="B208" i="816"/>
  <c r="B209" i="816"/>
  <c r="B210" i="816"/>
  <c r="B211" i="816"/>
  <c r="B212" i="816"/>
  <c r="B213" i="816"/>
  <c r="B214" i="816"/>
  <c r="B215" i="816"/>
  <c r="B216" i="816"/>
  <c r="B217" i="816"/>
  <c r="B218" i="816"/>
  <c r="B219" i="816"/>
  <c r="B220" i="816"/>
  <c r="B221" i="816"/>
  <c r="B222" i="816"/>
  <c r="B223" i="816"/>
  <c r="B224" i="816"/>
  <c r="B225" i="816"/>
  <c r="B226" i="816"/>
  <c r="B227" i="816"/>
  <c r="B228" i="816"/>
  <c r="B229" i="816"/>
  <c r="B230" i="816"/>
  <c r="B231" i="816"/>
  <c r="B232" i="816"/>
  <c r="B233" i="816"/>
  <c r="B234" i="816"/>
  <c r="B235" i="816"/>
  <c r="B236" i="816"/>
  <c r="B237" i="816"/>
  <c r="B238" i="816"/>
  <c r="B239" i="816"/>
  <c r="B240" i="816"/>
  <c r="B241" i="816"/>
  <c r="B242" i="816"/>
  <c r="B243" i="816"/>
  <c r="B244" i="816"/>
  <c r="B245" i="816"/>
  <c r="B246" i="816"/>
  <c r="B247" i="816"/>
  <c r="B248" i="816"/>
  <c r="B249" i="816"/>
  <c r="B250" i="816"/>
  <c r="B251" i="816"/>
  <c r="B252" i="816"/>
  <c r="B253" i="816"/>
  <c r="B254" i="816"/>
  <c r="B255" i="816"/>
  <c r="B256" i="816"/>
  <c r="B257" i="816"/>
  <c r="B258" i="816"/>
  <c r="B259" i="816"/>
  <c r="B260" i="816"/>
  <c r="B261" i="816"/>
  <c r="B262" i="816"/>
  <c r="B263" i="816"/>
  <c r="B264" i="816"/>
  <c r="B265" i="816"/>
  <c r="B266" i="816"/>
  <c r="B267" i="816"/>
  <c r="B268" i="816"/>
  <c r="B269" i="816"/>
  <c r="B270" i="816"/>
  <c r="B271" i="816"/>
  <c r="B272" i="816"/>
  <c r="B273" i="816"/>
  <c r="B274" i="816"/>
  <c r="B275" i="816"/>
  <c r="B276" i="816"/>
  <c r="B277" i="816"/>
  <c r="B278" i="816"/>
  <c r="B279" i="816"/>
  <c r="B280" i="816"/>
  <c r="B281" i="816"/>
  <c r="B282" i="816"/>
  <c r="B283" i="816"/>
  <c r="B284" i="816"/>
  <c r="B285" i="816"/>
  <c r="B286" i="816"/>
  <c r="B287" i="816"/>
  <c r="B288" i="816"/>
  <c r="B289" i="816"/>
  <c r="B290" i="816"/>
  <c r="B291" i="816"/>
  <c r="B292" i="816"/>
  <c r="B293" i="816"/>
  <c r="B294" i="816"/>
  <c r="B295" i="816"/>
  <c r="B296" i="816"/>
  <c r="B297" i="816"/>
  <c r="B298" i="816"/>
  <c r="B299" i="816"/>
  <c r="B300" i="816"/>
  <c r="B301" i="816"/>
  <c r="B302" i="816"/>
  <c r="B303" i="816"/>
  <c r="B304" i="816"/>
  <c r="B305" i="816"/>
  <c r="B306" i="816"/>
  <c r="B307" i="816"/>
  <c r="B308" i="816"/>
  <c r="B309" i="816"/>
  <c r="B310" i="816"/>
  <c r="B311" i="816"/>
  <c r="B312" i="816"/>
  <c r="B313" i="816"/>
  <c r="B314" i="816"/>
  <c r="B315" i="816"/>
  <c r="B316" i="816"/>
  <c r="B317" i="816"/>
  <c r="B318" i="816"/>
  <c r="B319" i="816"/>
  <c r="B320" i="816"/>
  <c r="B321" i="816"/>
  <c r="B322" i="816"/>
  <c r="B323" i="816"/>
  <c r="B324" i="816"/>
  <c r="B325" i="816"/>
  <c r="B326" i="816"/>
  <c r="B327" i="816"/>
  <c r="B328" i="816"/>
  <c r="B329" i="816"/>
  <c r="B330" i="816"/>
  <c r="B331" i="816"/>
  <c r="B332" i="816"/>
  <c r="B333" i="816"/>
  <c r="B334" i="816"/>
  <c r="B335" i="816"/>
  <c r="B336" i="816"/>
  <c r="B337" i="816"/>
  <c r="B338" i="816"/>
  <c r="B339" i="816"/>
  <c r="B340" i="816"/>
  <c r="B341" i="816"/>
  <c r="B342" i="816"/>
  <c r="B343" i="816"/>
  <c r="B344" i="816"/>
  <c r="B345" i="816"/>
  <c r="B346" i="816"/>
  <c r="B347" i="816"/>
  <c r="B348" i="816"/>
  <c r="B349" i="816"/>
  <c r="B350" i="816"/>
  <c r="B351" i="816"/>
  <c r="B352" i="816"/>
  <c r="B353" i="816"/>
  <c r="B354" i="816"/>
  <c r="B355" i="816"/>
  <c r="B356" i="816"/>
  <c r="B357" i="816"/>
  <c r="B358" i="816"/>
  <c r="B359" i="816"/>
  <c r="B360" i="816"/>
  <c r="B361" i="816"/>
  <c r="B362" i="816"/>
  <c r="B363" i="816"/>
  <c r="B364" i="816"/>
  <c r="B365" i="816"/>
  <c r="B366" i="816"/>
  <c r="B367" i="816"/>
  <c r="B368" i="816"/>
  <c r="B369" i="816"/>
  <c r="B370" i="816"/>
  <c r="B371" i="816"/>
  <c r="B372" i="816"/>
  <c r="B373" i="816"/>
  <c r="B374" i="816"/>
  <c r="B375" i="816"/>
  <c r="B376" i="816"/>
  <c r="B377" i="816"/>
  <c r="B378" i="816"/>
  <c r="B379" i="816"/>
  <c r="B380" i="816"/>
  <c r="B381" i="816"/>
  <c r="B382" i="816"/>
  <c r="B383" i="816"/>
  <c r="B384" i="816"/>
  <c r="B385" i="816"/>
  <c r="B386" i="816"/>
  <c r="B387" i="816"/>
  <c r="B388" i="816"/>
  <c r="B389" i="816"/>
  <c r="B390" i="816"/>
  <c r="B391" i="816"/>
  <c r="B392" i="816"/>
  <c r="B393" i="816"/>
  <c r="B394" i="816"/>
  <c r="B395" i="816"/>
  <c r="B396" i="816"/>
  <c r="B397" i="816"/>
  <c r="B398" i="816"/>
  <c r="B399" i="816"/>
  <c r="B400" i="816"/>
  <c r="B401" i="816"/>
  <c r="B402" i="816"/>
  <c r="B403" i="816"/>
  <c r="B404" i="816"/>
  <c r="B405" i="816"/>
  <c r="B406" i="816"/>
  <c r="B407" i="816"/>
  <c r="B408" i="816"/>
  <c r="B409" i="816"/>
  <c r="B410" i="816"/>
  <c r="B411" i="816"/>
  <c r="B412" i="816"/>
  <c r="B413" i="816"/>
  <c r="B414" i="816"/>
  <c r="B415" i="816"/>
  <c r="B416" i="816"/>
  <c r="B417" i="816"/>
  <c r="B418" i="816"/>
  <c r="B419" i="816"/>
  <c r="B420" i="816"/>
  <c r="B421" i="816"/>
  <c r="B422" i="816"/>
  <c r="B423" i="816"/>
  <c r="B424" i="816"/>
  <c r="B425" i="816"/>
  <c r="B426" i="816"/>
  <c r="B427" i="816"/>
  <c r="B428" i="816"/>
  <c r="B429" i="816"/>
  <c r="B430" i="816"/>
  <c r="B431" i="816"/>
  <c r="B432" i="816"/>
  <c r="B433" i="816"/>
  <c r="B434" i="816"/>
  <c r="B435" i="816"/>
  <c r="B436" i="816"/>
  <c r="B437" i="816"/>
  <c r="B438" i="816"/>
  <c r="B439" i="816"/>
  <c r="B440" i="816"/>
  <c r="B441" i="816"/>
  <c r="B442" i="816"/>
  <c r="B443" i="816"/>
  <c r="B444" i="816"/>
  <c r="B445" i="816"/>
  <c r="B446" i="816"/>
  <c r="B447" i="816"/>
  <c r="B448" i="816"/>
  <c r="B449" i="816"/>
  <c r="B450" i="816"/>
  <c r="B451" i="816"/>
  <c r="B452" i="816"/>
  <c r="B453" i="816"/>
  <c r="B454" i="816"/>
  <c r="B455" i="816"/>
  <c r="B456" i="816"/>
  <c r="B457" i="816"/>
  <c r="B458" i="816"/>
  <c r="B459" i="816"/>
  <c r="B460" i="816"/>
  <c r="B461" i="816"/>
  <c r="B462" i="816"/>
  <c r="B463" i="816"/>
  <c r="B464" i="816"/>
  <c r="B465" i="816"/>
  <c r="B466" i="816"/>
  <c r="B467" i="816"/>
  <c r="B468" i="816"/>
  <c r="B469" i="816"/>
  <c r="B470" i="816"/>
  <c r="B471" i="816"/>
  <c r="B472" i="816"/>
  <c r="B473" i="816"/>
  <c r="B474" i="816"/>
  <c r="B475" i="816"/>
  <c r="B476" i="816"/>
  <c r="B477" i="816"/>
  <c r="B478" i="816"/>
  <c r="B479" i="816"/>
  <c r="B480" i="816"/>
  <c r="B481" i="816"/>
  <c r="B482" i="816"/>
  <c r="B483" i="816"/>
  <c r="B484" i="816"/>
  <c r="B485" i="816"/>
  <c r="B486" i="816"/>
  <c r="B487" i="816"/>
  <c r="B488" i="816"/>
  <c r="B489" i="816"/>
  <c r="B490" i="816"/>
  <c r="B491" i="816"/>
  <c r="B492" i="816"/>
  <c r="B493" i="816"/>
  <c r="B494" i="816"/>
  <c r="B495" i="816"/>
  <c r="B496" i="816"/>
  <c r="B497" i="816"/>
  <c r="B498" i="816"/>
  <c r="B499" i="816"/>
  <c r="B500" i="816"/>
  <c r="B501" i="816"/>
  <c r="B502" i="816"/>
  <c r="B503" i="816"/>
  <c r="B504" i="816"/>
  <c r="B505" i="816"/>
  <c r="B506" i="816"/>
  <c r="B507" i="816"/>
  <c r="B508" i="816"/>
  <c r="B509" i="816"/>
  <c r="B510" i="816"/>
  <c r="B511" i="816"/>
  <c r="B512" i="816"/>
  <c r="B513" i="816"/>
  <c r="B514" i="816"/>
  <c r="B515" i="816"/>
  <c r="B516" i="816"/>
  <c r="B517" i="816"/>
  <c r="B518" i="816"/>
  <c r="B519" i="816"/>
  <c r="B520" i="816"/>
  <c r="B521" i="816"/>
  <c r="B522" i="816"/>
  <c r="B523" i="816"/>
  <c r="B524" i="816"/>
  <c r="B525" i="816"/>
  <c r="B526" i="816"/>
  <c r="B527" i="816"/>
  <c r="B528" i="816"/>
  <c r="B529" i="816"/>
  <c r="B530" i="816"/>
  <c r="B531" i="816"/>
  <c r="B532" i="816"/>
  <c r="B533" i="816"/>
  <c r="B534" i="816"/>
  <c r="B535" i="816"/>
  <c r="B536" i="816"/>
  <c r="B537" i="816"/>
  <c r="B538" i="816"/>
  <c r="B539" i="816"/>
  <c r="B540" i="816"/>
  <c r="B541" i="816"/>
  <c r="B542" i="816"/>
  <c r="B543" i="816"/>
  <c r="B544" i="816"/>
  <c r="B545" i="816"/>
  <c r="B546" i="816"/>
  <c r="B547" i="816"/>
  <c r="B548" i="816"/>
  <c r="B549" i="816"/>
  <c r="B550" i="816"/>
  <c r="B551" i="816"/>
  <c r="B552" i="816"/>
  <c r="B553" i="816"/>
  <c r="B554" i="816"/>
  <c r="B555" i="816"/>
  <c r="B556" i="816"/>
  <c r="B557" i="816"/>
  <c r="B558" i="816"/>
  <c r="B559" i="816"/>
  <c r="B560" i="816"/>
  <c r="B561" i="816"/>
  <c r="B562" i="816"/>
  <c r="B563" i="816"/>
  <c r="B564" i="816"/>
  <c r="B565" i="816"/>
  <c r="AH15" i="509"/>
  <c r="AH16" i="509"/>
  <c r="AH17" i="509"/>
  <c r="AH18" i="509"/>
  <c r="AH19" i="509"/>
  <c r="AH20" i="509"/>
  <c r="AH21" i="509"/>
  <c r="AH22" i="509"/>
  <c r="AH23" i="509"/>
  <c r="AH24" i="509"/>
  <c r="AH25" i="509"/>
  <c r="AH26" i="509"/>
  <c r="AH27" i="509"/>
  <c r="AH28" i="509"/>
  <c r="AH29" i="509"/>
  <c r="AH30" i="509"/>
  <c r="AH31" i="509"/>
  <c r="AH32" i="509"/>
  <c r="AH33" i="509"/>
  <c r="AH34" i="509"/>
  <c r="AH35" i="509"/>
  <c r="AH36" i="509"/>
  <c r="AH37" i="509"/>
  <c r="AH38" i="509"/>
  <c r="AH39" i="509"/>
  <c r="AH40" i="509"/>
  <c r="AH41" i="509"/>
  <c r="AH42" i="509"/>
  <c r="AH43" i="509"/>
  <c r="AH44" i="509"/>
  <c r="AH45" i="509"/>
  <c r="AH46" i="509"/>
  <c r="AH47" i="509"/>
  <c r="AH48" i="509"/>
  <c r="AH49" i="509"/>
  <c r="AH50" i="509"/>
  <c r="AH51" i="509"/>
  <c r="AH52" i="509"/>
  <c r="AH53" i="509"/>
  <c r="AH54" i="509"/>
  <c r="AH55" i="509"/>
  <c r="AH56" i="509"/>
  <c r="AH57" i="509"/>
  <c r="AH58" i="509"/>
  <c r="AH59" i="509"/>
  <c r="AH60" i="509"/>
  <c r="AH61" i="509"/>
  <c r="AH62" i="509"/>
  <c r="AH63" i="509"/>
  <c r="AH64" i="509"/>
  <c r="AH65" i="509"/>
  <c r="AH66" i="509"/>
  <c r="AH67" i="509"/>
  <c r="AH68" i="509"/>
  <c r="AH69" i="509"/>
  <c r="AH70" i="509"/>
  <c r="AH71" i="509"/>
  <c r="AH72" i="509"/>
  <c r="AH73" i="509"/>
  <c r="AH74" i="509"/>
  <c r="AH75" i="509"/>
  <c r="AH76" i="509"/>
  <c r="AH77" i="509"/>
  <c r="AH78" i="509"/>
  <c r="AH79" i="509"/>
  <c r="AH80" i="509"/>
  <c r="AH81" i="509"/>
  <c r="AH82" i="509"/>
  <c r="AH83" i="509"/>
  <c r="AH84" i="509"/>
  <c r="AH85" i="509"/>
  <c r="AH86" i="509"/>
  <c r="AH87" i="509"/>
  <c r="AH88" i="509"/>
  <c r="AH89" i="509"/>
  <c r="AH90" i="509"/>
  <c r="AH91" i="509"/>
  <c r="AH92" i="509"/>
  <c r="AH93" i="509"/>
  <c r="AH94" i="509"/>
  <c r="AH95" i="509"/>
  <c r="AH96" i="509"/>
  <c r="AH97" i="509"/>
  <c r="AH98" i="509"/>
  <c r="AH99" i="509"/>
  <c r="AH100" i="509"/>
  <c r="AH101" i="509"/>
  <c r="AH102" i="509"/>
  <c r="AH103" i="509"/>
  <c r="AH104" i="509"/>
  <c r="AH105" i="509"/>
  <c r="AH106" i="509"/>
  <c r="AH107" i="509"/>
  <c r="AH108" i="509"/>
  <c r="AH109" i="509"/>
  <c r="AH110" i="509"/>
  <c r="AH111" i="509"/>
  <c r="AH112" i="509"/>
  <c r="AH113" i="509"/>
  <c r="AH114" i="509"/>
  <c r="AH115" i="509"/>
  <c r="AH116" i="509"/>
  <c r="AH117" i="509"/>
  <c r="AH118" i="509"/>
  <c r="AH119" i="509"/>
  <c r="AH120" i="509"/>
  <c r="AH121" i="509"/>
  <c r="AH122" i="509"/>
  <c r="AH123" i="509"/>
  <c r="AH124" i="509"/>
  <c r="AH125" i="509"/>
  <c r="AH126" i="509"/>
  <c r="AH127" i="509"/>
  <c r="AH128" i="509"/>
  <c r="AH129" i="509"/>
  <c r="AH130" i="509"/>
  <c r="AH131" i="509"/>
  <c r="AH132" i="509"/>
  <c r="AH133" i="509"/>
  <c r="AH134" i="509"/>
  <c r="AH135" i="509"/>
  <c r="AH136" i="509"/>
  <c r="AH137" i="509"/>
  <c r="AH138" i="509"/>
  <c r="AH139" i="509"/>
  <c r="AH140" i="509"/>
  <c r="AH141" i="509"/>
  <c r="AH142" i="509"/>
  <c r="AH143" i="509"/>
  <c r="AH144" i="509"/>
  <c r="AH145" i="509"/>
  <c r="AH146" i="509"/>
  <c r="AH147" i="509"/>
  <c r="AH148" i="509"/>
  <c r="AH149" i="509"/>
  <c r="AH150" i="509"/>
  <c r="AH151" i="509"/>
  <c r="AH152" i="509"/>
  <c r="AH153" i="509"/>
  <c r="AH154" i="509"/>
  <c r="AH155" i="509"/>
  <c r="AH156" i="509"/>
  <c r="AH157" i="509"/>
  <c r="AH158" i="509"/>
  <c r="AH159" i="509"/>
  <c r="AH160" i="509"/>
  <c r="AH161" i="509"/>
  <c r="AH162" i="509"/>
  <c r="AH163" i="509"/>
  <c r="AH164" i="509"/>
  <c r="AH165" i="509"/>
  <c r="AH166" i="509"/>
  <c r="AH167" i="509"/>
  <c r="AH168" i="509"/>
  <c r="AH169" i="509"/>
  <c r="AH170" i="509"/>
  <c r="AH171" i="509"/>
  <c r="AH172" i="509"/>
  <c r="AH173" i="509"/>
  <c r="AH174" i="509"/>
  <c r="AH175" i="509"/>
  <c r="AH176" i="509"/>
  <c r="AH177" i="509"/>
  <c r="AH178" i="509"/>
  <c r="AH179" i="509"/>
  <c r="AH180" i="509"/>
  <c r="AH181" i="509"/>
  <c r="AH182" i="509"/>
  <c r="AH183" i="509"/>
  <c r="AH184" i="509"/>
  <c r="AH185" i="509"/>
  <c r="AH186" i="509"/>
  <c r="AH187" i="509"/>
  <c r="AH188" i="509"/>
  <c r="AH189" i="509"/>
  <c r="AH190" i="509"/>
  <c r="AH191" i="509"/>
  <c r="AH192" i="509"/>
  <c r="AH193" i="509"/>
  <c r="AH194" i="509"/>
  <c r="AH195" i="509"/>
  <c r="AH196" i="509"/>
  <c r="AH197" i="509"/>
  <c r="AH198" i="509"/>
  <c r="AH199" i="509"/>
  <c r="AH200" i="509"/>
  <c r="AH201" i="509"/>
  <c r="AH202" i="509"/>
  <c r="AH203" i="509"/>
  <c r="AH204" i="509"/>
  <c r="AH205" i="509"/>
  <c r="AH206" i="509"/>
  <c r="AH207" i="509"/>
  <c r="AH208" i="509"/>
  <c r="AH209" i="509"/>
  <c r="AH210" i="509"/>
  <c r="AH211" i="509"/>
  <c r="AH212" i="509"/>
  <c r="AH213" i="509"/>
  <c r="AH214" i="509"/>
  <c r="AH215" i="509"/>
  <c r="AH216" i="509"/>
  <c r="AH217" i="509"/>
  <c r="AH218" i="509"/>
  <c r="AH219" i="509"/>
  <c r="AH220" i="509"/>
  <c r="AH221" i="509"/>
  <c r="AH222" i="509"/>
  <c r="AH223" i="509"/>
  <c r="AH224" i="509"/>
  <c r="AH225" i="509"/>
  <c r="AH226" i="509"/>
  <c r="AH227" i="509"/>
  <c r="AH228" i="509"/>
  <c r="AH229" i="509"/>
  <c r="AH230" i="509"/>
  <c r="AH231" i="509"/>
  <c r="AH232" i="509"/>
  <c r="AH233" i="509"/>
  <c r="AH234" i="509"/>
  <c r="AH235" i="509"/>
  <c r="AH236" i="509"/>
  <c r="AH237" i="509"/>
  <c r="AH238" i="509"/>
  <c r="AH239" i="509"/>
  <c r="AH240" i="509"/>
  <c r="AH241" i="509"/>
  <c r="AH242" i="509"/>
  <c r="AH243" i="509"/>
  <c r="AH244" i="509"/>
  <c r="AH245" i="509"/>
  <c r="AH246" i="509"/>
  <c r="AH247" i="509"/>
  <c r="AH248" i="509"/>
  <c r="AH249" i="509"/>
  <c r="AH250" i="509"/>
  <c r="AH251" i="509"/>
  <c r="AH252" i="509"/>
  <c r="AH253" i="509"/>
  <c r="AH254" i="509"/>
  <c r="AH255" i="509"/>
  <c r="AH256" i="509"/>
  <c r="AH257" i="509"/>
  <c r="AH258" i="509"/>
  <c r="AH259" i="509"/>
  <c r="AH260" i="509"/>
  <c r="AH261" i="509"/>
  <c r="AH262" i="509"/>
  <c r="AH263" i="509"/>
  <c r="AH264" i="509"/>
  <c r="AH265" i="509"/>
  <c r="AH266" i="509"/>
  <c r="AH267" i="509"/>
  <c r="AH268" i="509"/>
  <c r="AH269" i="509"/>
  <c r="AH270" i="509"/>
  <c r="AH271" i="509"/>
  <c r="AH272" i="509"/>
  <c r="AH273" i="509"/>
  <c r="AH274" i="509"/>
  <c r="AH275" i="509"/>
  <c r="AH276" i="509"/>
  <c r="AH277" i="509"/>
  <c r="AH278" i="509"/>
  <c r="AH279" i="509"/>
  <c r="AH280" i="509"/>
  <c r="AH281" i="509"/>
  <c r="AH282" i="509"/>
  <c r="AH283" i="509"/>
  <c r="AH284" i="509"/>
  <c r="AH285" i="509"/>
  <c r="AH286" i="509"/>
  <c r="AH287" i="509"/>
  <c r="AH288" i="509"/>
  <c r="AH289" i="509"/>
  <c r="AH290" i="509"/>
  <c r="AH291" i="509"/>
  <c r="AH292" i="509"/>
  <c r="AH293" i="509"/>
  <c r="AH294" i="509"/>
  <c r="AH295" i="509"/>
  <c r="AH296" i="509"/>
  <c r="AH297" i="509"/>
  <c r="AH298" i="509"/>
  <c r="AH299" i="509"/>
  <c r="AH300" i="509"/>
  <c r="AH301" i="509"/>
  <c r="AH302" i="509"/>
  <c r="AH303" i="509"/>
  <c r="AH304" i="509"/>
  <c r="AH305" i="509"/>
  <c r="AH306" i="509"/>
  <c r="AH307" i="509"/>
  <c r="AH308" i="509"/>
  <c r="AH309" i="509"/>
  <c r="AH310" i="509"/>
  <c r="AH311" i="509"/>
  <c r="AH312" i="509"/>
  <c r="AH313" i="509"/>
  <c r="AH314" i="509"/>
  <c r="AH315" i="509"/>
  <c r="AH316" i="509"/>
  <c r="AH317" i="509"/>
  <c r="AH318" i="509"/>
  <c r="AH319" i="509"/>
  <c r="AH320" i="509"/>
  <c r="AH321" i="509"/>
  <c r="AH322" i="509"/>
  <c r="AH323" i="509"/>
  <c r="AH324" i="509"/>
  <c r="AH325" i="509"/>
  <c r="AH326" i="509"/>
  <c r="AH327" i="509"/>
  <c r="AH328" i="509"/>
  <c r="D11" i="824"/>
  <c r="V9" i="124"/>
  <c r="V10" i="124"/>
  <c r="V11" i="124"/>
  <c r="V12" i="124"/>
  <c r="V13" i="124"/>
  <c r="V14" i="124"/>
  <c r="V15" i="124"/>
  <c r="V16" i="124"/>
  <c r="V17" i="124"/>
  <c r="V18" i="124"/>
  <c r="V19" i="124"/>
  <c r="V20" i="124"/>
  <c r="V21" i="124"/>
  <c r="V22" i="124"/>
  <c r="V23" i="124"/>
  <c r="V24" i="124"/>
  <c r="V25" i="124"/>
  <c r="V26" i="124"/>
  <c r="V27" i="124"/>
  <c r="V28" i="124"/>
  <c r="V29" i="124"/>
  <c r="V30" i="124"/>
  <c r="V31" i="124"/>
  <c r="V32" i="124"/>
  <c r="V33" i="124"/>
  <c r="V34" i="124"/>
  <c r="V35" i="124"/>
  <c r="V36" i="124"/>
  <c r="V37" i="124"/>
  <c r="V8" i="124"/>
  <c r="H6" i="834"/>
  <c r="U12" i="805"/>
  <c r="U13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U11" i="825"/>
  <c r="U12" i="825"/>
  <c r="U13" i="825"/>
  <c r="U14" i="825"/>
  <c r="U15" i="825"/>
  <c r="U16" i="825"/>
  <c r="U17" i="825"/>
  <c r="U18" i="825"/>
  <c r="U19" i="825"/>
  <c r="U20" i="825"/>
  <c r="U21" i="825"/>
  <c r="U22" i="825"/>
  <c r="U23" i="825"/>
  <c r="U24" i="825"/>
  <c r="U25" i="825"/>
  <c r="U26" i="825"/>
  <c r="U27" i="825"/>
  <c r="U28" i="825"/>
  <c r="U29" i="825"/>
  <c r="U30" i="825"/>
  <c r="U31" i="825"/>
  <c r="U32" i="825"/>
  <c r="U33" i="825"/>
  <c r="U34" i="825"/>
  <c r="U35" i="825"/>
  <c r="U36" i="825"/>
  <c r="U37" i="825"/>
  <c r="U38" i="825"/>
  <c r="U39" i="825"/>
  <c r="U40" i="825"/>
  <c r="U41" i="825"/>
  <c r="U42" i="825"/>
  <c r="U43" i="825"/>
  <c r="U44" i="825"/>
  <c r="U45" i="825"/>
  <c r="U46" i="825"/>
  <c r="U47" i="825"/>
  <c r="U48" i="825"/>
  <c r="U49" i="825"/>
  <c r="U50" i="825"/>
  <c r="U51" i="825"/>
  <c r="U52" i="825"/>
  <c r="U53" i="825"/>
  <c r="U54" i="825"/>
  <c r="U55" i="825"/>
  <c r="U56" i="825"/>
  <c r="U57" i="825"/>
  <c r="U58" i="825"/>
  <c r="U59" i="825"/>
  <c r="U60" i="825"/>
  <c r="U61" i="825"/>
  <c r="U62" i="825"/>
  <c r="U63" i="825"/>
  <c r="U64" i="825"/>
  <c r="U65" i="825"/>
  <c r="U66" i="825"/>
  <c r="U67" i="825"/>
  <c r="U68" i="825"/>
  <c r="U69" i="825"/>
  <c r="U70" i="825"/>
  <c r="U71" i="825"/>
  <c r="U72" i="825"/>
  <c r="U73" i="825"/>
  <c r="U74" i="825"/>
  <c r="U75" i="825"/>
  <c r="U76" i="825"/>
  <c r="U77" i="825"/>
  <c r="U78" i="825"/>
  <c r="U79" i="825"/>
  <c r="U80" i="825"/>
  <c r="U81" i="825"/>
  <c r="U82" i="825"/>
  <c r="U83" i="825"/>
  <c r="U84" i="825"/>
  <c r="U85" i="825"/>
  <c r="U86" i="825"/>
  <c r="U87" i="825"/>
  <c r="B1" i="509"/>
  <c r="J12" i="805"/>
  <c r="J13" i="805"/>
  <c r="J14" i="805"/>
  <c r="J15" i="805"/>
  <c r="J16" i="805"/>
  <c r="J17" i="805"/>
  <c r="J18" i="805"/>
  <c r="J19" i="805"/>
  <c r="J20" i="805"/>
  <c r="J21" i="805"/>
  <c r="J22" i="805"/>
  <c r="J23" i="805"/>
  <c r="J24" i="805"/>
  <c r="J25" i="805"/>
  <c r="J26" i="805"/>
  <c r="J27" i="805"/>
  <c r="J28" i="805"/>
  <c r="J29" i="805"/>
  <c r="J30" i="805"/>
  <c r="Y12" i="805"/>
  <c r="Y13" i="805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V9" i="805"/>
  <c r="V10" i="805"/>
  <c r="V11" i="805"/>
  <c r="S12" i="805"/>
  <c r="V12" i="805"/>
  <c r="X12" i="805"/>
  <c r="S13" i="805"/>
  <c r="V13" i="805"/>
  <c r="X13" i="805"/>
  <c r="S14" i="805"/>
  <c r="V14" i="805"/>
  <c r="X14" i="805"/>
  <c r="S15" i="805"/>
  <c r="V15" i="805"/>
  <c r="X15" i="805"/>
  <c r="S16" i="805"/>
  <c r="V16" i="805"/>
  <c r="X16" i="805"/>
  <c r="S17" i="805"/>
  <c r="V17" i="805"/>
  <c r="X17" i="805"/>
  <c r="S18" i="805"/>
  <c r="V18" i="805"/>
  <c r="X18" i="805"/>
  <c r="S19" i="805"/>
  <c r="V19" i="805"/>
  <c r="X19" i="805"/>
  <c r="S20" i="805"/>
  <c r="V20" i="805"/>
  <c r="X20" i="805"/>
  <c r="S21" i="805"/>
  <c r="V21" i="805"/>
  <c r="X21" i="805"/>
  <c r="S22" i="805"/>
  <c r="V22" i="805"/>
  <c r="X22" i="805"/>
  <c r="S23" i="805"/>
  <c r="V23" i="805"/>
  <c r="X23" i="805"/>
  <c r="S24" i="805"/>
  <c r="V24" i="805"/>
  <c r="X24" i="805"/>
  <c r="S25" i="805"/>
  <c r="V25" i="805"/>
  <c r="X25" i="805"/>
  <c r="S26" i="805"/>
  <c r="V26" i="805"/>
  <c r="X26" i="805"/>
  <c r="S27" i="805"/>
  <c r="V27" i="805"/>
  <c r="X27" i="805"/>
  <c r="S28" i="805"/>
  <c r="V28" i="805"/>
  <c r="X28" i="805"/>
  <c r="S29" i="805"/>
  <c r="V29" i="805"/>
  <c r="X29" i="805"/>
  <c r="S30" i="805"/>
  <c r="V30" i="805"/>
  <c r="X30" i="805"/>
  <c r="J31" i="805"/>
  <c r="S31" i="805"/>
  <c r="V31" i="805"/>
  <c r="X31" i="805"/>
  <c r="J32" i="805"/>
  <c r="S32" i="805"/>
  <c r="V32" i="805"/>
  <c r="X32" i="805"/>
  <c r="J33" i="805"/>
  <c r="S33" i="805"/>
  <c r="V33" i="805"/>
  <c r="X33" i="805"/>
  <c r="J34" i="805"/>
  <c r="S34" i="805"/>
  <c r="V34" i="805"/>
  <c r="X34" i="805"/>
  <c r="J35" i="805"/>
  <c r="S35" i="805"/>
  <c r="V35" i="805"/>
  <c r="X35" i="805"/>
  <c r="J36" i="805"/>
  <c r="S36" i="805"/>
  <c r="V36" i="805"/>
  <c r="X36" i="805"/>
  <c r="J37" i="805"/>
  <c r="S37" i="805"/>
  <c r="V37" i="805"/>
  <c r="X37" i="805"/>
  <c r="J38" i="805"/>
  <c r="S38" i="805"/>
  <c r="V38" i="805"/>
  <c r="X38" i="805"/>
  <c r="J39" i="805"/>
  <c r="S39" i="805"/>
  <c r="V39" i="805"/>
  <c r="X39" i="805"/>
  <c r="J40" i="805"/>
  <c r="S40" i="805"/>
  <c r="V40" i="805"/>
  <c r="X40" i="805"/>
  <c r="J41" i="805"/>
  <c r="S41" i="805"/>
  <c r="V41" i="805"/>
  <c r="X41" i="805"/>
  <c r="J42" i="805"/>
  <c r="S42" i="805"/>
  <c r="V42" i="805"/>
  <c r="X42" i="805"/>
  <c r="J43" i="805"/>
  <c r="S43" i="805"/>
  <c r="V43" i="805"/>
  <c r="X43" i="805"/>
  <c r="J44" i="805"/>
  <c r="S44" i="805"/>
  <c r="V44" i="805"/>
  <c r="X44" i="805"/>
  <c r="J45" i="805"/>
  <c r="S45" i="805"/>
  <c r="V45" i="805"/>
  <c r="X45" i="805"/>
  <c r="J46" i="805"/>
  <c r="S46" i="805"/>
  <c r="V46" i="805"/>
  <c r="X46" i="805"/>
  <c r="J47" i="805"/>
  <c r="S47" i="805"/>
  <c r="V47" i="805"/>
  <c r="X47" i="805"/>
  <c r="J48" i="805"/>
  <c r="S48" i="805"/>
  <c r="V48" i="805"/>
  <c r="X48" i="805"/>
  <c r="J49" i="805"/>
  <c r="S49" i="805"/>
  <c r="V49" i="805"/>
  <c r="X49" i="805"/>
  <c r="J50" i="805"/>
  <c r="S50" i="805"/>
  <c r="V50" i="805"/>
  <c r="X50" i="805"/>
  <c r="J51" i="805"/>
  <c r="S51" i="805"/>
  <c r="V51" i="805"/>
  <c r="X51" i="805"/>
  <c r="J52" i="805"/>
  <c r="S52" i="805"/>
  <c r="V52" i="805"/>
  <c r="X52" i="805"/>
  <c r="J53" i="805"/>
  <c r="S53" i="805"/>
  <c r="V53" i="805"/>
  <c r="X53" i="805"/>
  <c r="J54" i="805"/>
  <c r="S54" i="805"/>
  <c r="V54" i="805"/>
  <c r="X54" i="805"/>
  <c r="J55" i="805"/>
  <c r="S55" i="805"/>
  <c r="V55" i="805"/>
  <c r="X55" i="805"/>
  <c r="J56" i="805"/>
  <c r="S56" i="805"/>
  <c r="V56" i="805"/>
  <c r="X56" i="805"/>
  <c r="J57" i="805"/>
  <c r="S57" i="805"/>
  <c r="V57" i="805"/>
  <c r="X57" i="805"/>
  <c r="J58" i="805"/>
  <c r="S58" i="805"/>
  <c r="V58" i="805"/>
  <c r="X58" i="805"/>
  <c r="J59" i="805"/>
  <c r="S59" i="805"/>
  <c r="V59" i="805"/>
  <c r="X59" i="805"/>
  <c r="J60" i="805"/>
  <c r="S60" i="805"/>
  <c r="V60" i="805"/>
  <c r="X60" i="805"/>
  <c r="J61" i="805"/>
  <c r="S61" i="805"/>
  <c r="V61" i="805"/>
  <c r="X61" i="805"/>
  <c r="J62" i="805"/>
  <c r="S62" i="805"/>
  <c r="V62" i="805"/>
  <c r="X62" i="805"/>
  <c r="J63" i="805"/>
  <c r="S63" i="805"/>
  <c r="V63" i="805"/>
  <c r="X63" i="805"/>
  <c r="J64" i="805"/>
  <c r="S64" i="805"/>
  <c r="V64" i="805"/>
  <c r="X64" i="805"/>
  <c r="J65" i="805"/>
  <c r="S65" i="805"/>
  <c r="V65" i="805"/>
  <c r="X65" i="805"/>
  <c r="J66" i="805"/>
  <c r="S66" i="805"/>
  <c r="V66" i="805"/>
  <c r="X66" i="805"/>
  <c r="J67" i="805"/>
  <c r="S67" i="805"/>
  <c r="V67" i="805"/>
  <c r="X67" i="805"/>
  <c r="J68" i="805"/>
  <c r="S68" i="805"/>
  <c r="V68" i="805"/>
  <c r="X68" i="805"/>
  <c r="J69" i="805"/>
  <c r="S69" i="805"/>
  <c r="V69" i="805"/>
  <c r="X69" i="805"/>
  <c r="J70" i="805"/>
  <c r="S70" i="805"/>
  <c r="V70" i="805"/>
  <c r="X70" i="805"/>
  <c r="J71" i="805"/>
  <c r="S71" i="805"/>
  <c r="V71" i="805"/>
  <c r="X71" i="805"/>
  <c r="J72" i="805"/>
  <c r="S72" i="805"/>
  <c r="V72" i="805"/>
  <c r="X72" i="805"/>
  <c r="J73" i="805"/>
  <c r="S73" i="805"/>
  <c r="V73" i="805"/>
  <c r="X73" i="805"/>
  <c r="J74" i="805"/>
  <c r="S74" i="805"/>
  <c r="V74" i="805"/>
  <c r="X74" i="805"/>
  <c r="J75" i="805"/>
  <c r="S75" i="805"/>
  <c r="V75" i="805"/>
  <c r="X75" i="805"/>
  <c r="J76" i="805"/>
  <c r="S76" i="805"/>
  <c r="V76" i="805"/>
  <c r="X76" i="805"/>
  <c r="J77" i="805"/>
  <c r="S77" i="805"/>
  <c r="V77" i="805"/>
  <c r="X77" i="805"/>
  <c r="J78" i="805"/>
  <c r="S78" i="805"/>
  <c r="V78" i="805"/>
  <c r="X78" i="805"/>
  <c r="J79" i="805"/>
  <c r="S79" i="805"/>
  <c r="V79" i="805"/>
  <c r="X79" i="805"/>
  <c r="J80" i="805"/>
  <c r="S80" i="805"/>
  <c r="V80" i="805"/>
  <c r="X80" i="805"/>
  <c r="J81" i="805"/>
  <c r="S81" i="805"/>
  <c r="V81" i="805"/>
  <c r="X81" i="805"/>
  <c r="J82" i="805"/>
  <c r="S82" i="805"/>
  <c r="V82" i="805"/>
  <c r="X82" i="805"/>
  <c r="J83" i="805"/>
  <c r="S83" i="805"/>
  <c r="V83" i="805"/>
  <c r="X83" i="805"/>
  <c r="J84" i="805"/>
  <c r="S84" i="805"/>
  <c r="V84" i="805"/>
  <c r="X84" i="805"/>
  <c r="J85" i="805"/>
  <c r="S85" i="805"/>
  <c r="V85" i="805"/>
  <c r="X85" i="805"/>
  <c r="J86" i="805"/>
  <c r="S86" i="805"/>
  <c r="V86" i="805"/>
  <c r="X86" i="805"/>
  <c r="J87" i="805"/>
  <c r="S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V8" i="805"/>
  <c r="F8" i="805"/>
  <c r="F9" i="805"/>
  <c r="D11" i="825"/>
  <c r="C74" i="4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70" i="4"/>
  <c r="C71" i="4"/>
  <c r="C72" i="4" s="1"/>
  <c r="C73" i="4" s="1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55" i="4"/>
  <c r="C56" i="4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B8" i="825"/>
  <c r="BX204" i="825"/>
  <c r="BV204" i="825"/>
  <c r="BT204" i="825"/>
  <c r="BS204" i="825"/>
  <c r="BR204" i="825"/>
  <c r="BP204" i="825"/>
  <c r="BM204" i="825"/>
  <c r="BL204" i="825"/>
  <c r="BF204" i="825"/>
  <c r="BD204" i="825"/>
  <c r="BB204" i="825"/>
  <c r="BA204" i="825"/>
  <c r="AZ204" i="825"/>
  <c r="AX204" i="825"/>
  <c r="AT204" i="825"/>
  <c r="BX203" i="825"/>
  <c r="BV203" i="825"/>
  <c r="BT203" i="825"/>
  <c r="BS203" i="825"/>
  <c r="BR203" i="825"/>
  <c r="BP203" i="825"/>
  <c r="BM203" i="825"/>
  <c r="BL203" i="825"/>
  <c r="BF203" i="825"/>
  <c r="BD203" i="825"/>
  <c r="BB203" i="825"/>
  <c r="BA203" i="825"/>
  <c r="AZ203" i="825"/>
  <c r="AX203" i="825"/>
  <c r="AT203" i="825"/>
  <c r="BX202" i="825"/>
  <c r="BV202" i="825"/>
  <c r="BT202" i="825"/>
  <c r="BS202" i="825"/>
  <c r="BR202" i="825"/>
  <c r="BP202" i="825"/>
  <c r="BM202" i="825"/>
  <c r="BL202" i="825"/>
  <c r="BF202" i="825"/>
  <c r="BD202" i="825"/>
  <c r="BB202" i="825"/>
  <c r="BA202" i="825"/>
  <c r="AZ202" i="825"/>
  <c r="AX202" i="825"/>
  <c r="AT202" i="825"/>
  <c r="BX201" i="825"/>
  <c r="BV201" i="825"/>
  <c r="BT201" i="825"/>
  <c r="BS201" i="825"/>
  <c r="BR201" i="825"/>
  <c r="BP201" i="825"/>
  <c r="BM201" i="825"/>
  <c r="BL201" i="825"/>
  <c r="BF201" i="825"/>
  <c r="BD201" i="825"/>
  <c r="BB201" i="825"/>
  <c r="BA201" i="825"/>
  <c r="AZ201" i="825"/>
  <c r="AX201" i="825"/>
  <c r="AT201" i="825"/>
  <c r="BX200" i="825"/>
  <c r="BV200" i="825"/>
  <c r="BT200" i="825"/>
  <c r="BS200" i="825"/>
  <c r="BR200" i="825"/>
  <c r="BP200" i="825"/>
  <c r="BM200" i="825"/>
  <c r="BL200" i="825"/>
  <c r="BF200" i="825"/>
  <c r="BD200" i="825"/>
  <c r="BB200" i="825"/>
  <c r="BA200" i="825"/>
  <c r="AZ200" i="825"/>
  <c r="AX200" i="825"/>
  <c r="AT200" i="825"/>
  <c r="BX199" i="825"/>
  <c r="BV199" i="825"/>
  <c r="BT199" i="825"/>
  <c r="BS199" i="825"/>
  <c r="BR199" i="825"/>
  <c r="BP199" i="825"/>
  <c r="BM199" i="825"/>
  <c r="BL199" i="825"/>
  <c r="BF199" i="825"/>
  <c r="BD199" i="825"/>
  <c r="BB199" i="825"/>
  <c r="BA199" i="825"/>
  <c r="AZ199" i="825"/>
  <c r="AX199" i="825"/>
  <c r="AT199" i="825"/>
  <c r="BX198" i="825"/>
  <c r="BV198" i="825"/>
  <c r="BT198" i="825"/>
  <c r="BS198" i="825"/>
  <c r="BR198" i="825"/>
  <c r="BP198" i="825"/>
  <c r="BM198" i="825"/>
  <c r="BL198" i="825"/>
  <c r="BF198" i="825"/>
  <c r="BD198" i="825"/>
  <c r="BB198" i="825"/>
  <c r="BA198" i="825"/>
  <c r="AZ198" i="825"/>
  <c r="AX198" i="825"/>
  <c r="AT198" i="825"/>
  <c r="BX197" i="825"/>
  <c r="BV197" i="825"/>
  <c r="BT197" i="825"/>
  <c r="BS197" i="825"/>
  <c r="BR197" i="825"/>
  <c r="BP197" i="825"/>
  <c r="BM197" i="825"/>
  <c r="BL197" i="825"/>
  <c r="BF197" i="825"/>
  <c r="BD197" i="825"/>
  <c r="BB197" i="825"/>
  <c r="BA197" i="825"/>
  <c r="AZ197" i="825"/>
  <c r="AX197" i="825"/>
  <c r="AT197" i="825"/>
  <c r="BX196" i="825"/>
  <c r="BV196" i="825"/>
  <c r="BT196" i="825"/>
  <c r="BS196" i="825"/>
  <c r="BR196" i="825"/>
  <c r="BP196" i="825"/>
  <c r="BM196" i="825"/>
  <c r="BL196" i="825"/>
  <c r="BF196" i="825"/>
  <c r="BD196" i="825"/>
  <c r="BB196" i="825"/>
  <c r="BA196" i="825"/>
  <c r="AZ196" i="825"/>
  <c r="AX196" i="825"/>
  <c r="AT196" i="825"/>
  <c r="BX195" i="825"/>
  <c r="BV195" i="825"/>
  <c r="BT195" i="825"/>
  <c r="BS195" i="825"/>
  <c r="BR195" i="825"/>
  <c r="BP195" i="825"/>
  <c r="BM195" i="825"/>
  <c r="BL195" i="825"/>
  <c r="BF195" i="825"/>
  <c r="BD195" i="825"/>
  <c r="BB195" i="825"/>
  <c r="BA195" i="825"/>
  <c r="AZ195" i="825"/>
  <c r="AX195" i="825"/>
  <c r="AT195" i="825"/>
  <c r="BX194" i="825"/>
  <c r="BV194" i="825"/>
  <c r="BT194" i="825"/>
  <c r="BS194" i="825"/>
  <c r="BR194" i="825"/>
  <c r="BP194" i="825"/>
  <c r="BM194" i="825"/>
  <c r="BL194" i="825"/>
  <c r="BF194" i="825"/>
  <c r="BD194" i="825"/>
  <c r="BB194" i="825"/>
  <c r="BA194" i="825"/>
  <c r="AZ194" i="825"/>
  <c r="AX194" i="825"/>
  <c r="AT194" i="825"/>
  <c r="BX193" i="825"/>
  <c r="BV193" i="825"/>
  <c r="BT193" i="825"/>
  <c r="BS193" i="825"/>
  <c r="BR193" i="825"/>
  <c r="BP193" i="825"/>
  <c r="BM193" i="825"/>
  <c r="BL193" i="825"/>
  <c r="BF193" i="825"/>
  <c r="BD193" i="825"/>
  <c r="BB193" i="825"/>
  <c r="BA193" i="825"/>
  <c r="AZ193" i="825"/>
  <c r="AX193" i="825"/>
  <c r="AT193" i="825"/>
  <c r="BX192" i="825"/>
  <c r="BV192" i="825"/>
  <c r="BT192" i="825"/>
  <c r="BS192" i="825"/>
  <c r="BR192" i="825"/>
  <c r="BP192" i="825"/>
  <c r="BM192" i="825"/>
  <c r="BL192" i="825"/>
  <c r="BF192" i="825"/>
  <c r="BD192" i="825"/>
  <c r="BB192" i="825"/>
  <c r="BA192" i="825"/>
  <c r="AZ192" i="825"/>
  <c r="AX192" i="825"/>
  <c r="AT192" i="825"/>
  <c r="BX191" i="825"/>
  <c r="BV191" i="825"/>
  <c r="BT191" i="825"/>
  <c r="BS191" i="825"/>
  <c r="BR191" i="825"/>
  <c r="BP191" i="825"/>
  <c r="BM191" i="825"/>
  <c r="BL191" i="825"/>
  <c r="BF191" i="825"/>
  <c r="BD191" i="825"/>
  <c r="BB191" i="825"/>
  <c r="BA191" i="825"/>
  <c r="AZ191" i="825"/>
  <c r="AX191" i="825"/>
  <c r="AT191" i="825"/>
  <c r="BX190" i="825"/>
  <c r="BV190" i="825"/>
  <c r="BT190" i="825"/>
  <c r="BS190" i="825"/>
  <c r="BR190" i="825"/>
  <c r="BP190" i="825"/>
  <c r="BM190" i="825"/>
  <c r="BL190" i="825"/>
  <c r="BF190" i="825"/>
  <c r="BD190" i="825"/>
  <c r="BB190" i="825"/>
  <c r="BA190" i="825"/>
  <c r="AZ190" i="825"/>
  <c r="AX190" i="825"/>
  <c r="AT190" i="825"/>
  <c r="BX189" i="825"/>
  <c r="BV189" i="825"/>
  <c r="BT189" i="825"/>
  <c r="BS189" i="825"/>
  <c r="BR189" i="825"/>
  <c r="BP189" i="825"/>
  <c r="BM189" i="825"/>
  <c r="BL189" i="825"/>
  <c r="BF189" i="825"/>
  <c r="BD189" i="825"/>
  <c r="BB189" i="825"/>
  <c r="BA189" i="825"/>
  <c r="AZ189" i="825"/>
  <c r="AX189" i="825"/>
  <c r="AT189" i="825"/>
  <c r="BX188" i="825"/>
  <c r="BV188" i="825"/>
  <c r="BT188" i="825"/>
  <c r="BS188" i="825"/>
  <c r="BR188" i="825"/>
  <c r="BP188" i="825"/>
  <c r="BM188" i="825"/>
  <c r="BL188" i="825"/>
  <c r="BF188" i="825"/>
  <c r="BD188" i="825"/>
  <c r="BB188" i="825"/>
  <c r="BA188" i="825"/>
  <c r="AZ188" i="825"/>
  <c r="AX188" i="825"/>
  <c r="AT188" i="825"/>
  <c r="BX187" i="825"/>
  <c r="BV187" i="825"/>
  <c r="BT187" i="825"/>
  <c r="BS187" i="825"/>
  <c r="BR187" i="825"/>
  <c r="BP187" i="825"/>
  <c r="BM187" i="825"/>
  <c r="BL187" i="825"/>
  <c r="BF187" i="825"/>
  <c r="BD187" i="825"/>
  <c r="BB187" i="825"/>
  <c r="BA187" i="825"/>
  <c r="AZ187" i="825"/>
  <c r="AX187" i="825"/>
  <c r="AT187" i="825"/>
  <c r="BX186" i="825"/>
  <c r="BV186" i="825"/>
  <c r="BT186" i="825"/>
  <c r="BS186" i="825"/>
  <c r="BR186" i="825"/>
  <c r="BP186" i="825"/>
  <c r="BM186" i="825"/>
  <c r="BL186" i="825"/>
  <c r="BF186" i="825"/>
  <c r="BD186" i="825"/>
  <c r="BB186" i="825"/>
  <c r="BA186" i="825"/>
  <c r="AZ186" i="825"/>
  <c r="AX186" i="825"/>
  <c r="AT186" i="825"/>
  <c r="BX185" i="825"/>
  <c r="BV185" i="825"/>
  <c r="BT185" i="825"/>
  <c r="BS185" i="825"/>
  <c r="BR185" i="825"/>
  <c r="BP185" i="825"/>
  <c r="BM185" i="825"/>
  <c r="BL185" i="825"/>
  <c r="BF185" i="825"/>
  <c r="BD185" i="825"/>
  <c r="BB185" i="825"/>
  <c r="BA185" i="825"/>
  <c r="AZ185" i="825"/>
  <c r="AX185" i="825"/>
  <c r="AT185" i="825"/>
  <c r="BX184" i="825"/>
  <c r="BV184" i="825"/>
  <c r="BT184" i="825"/>
  <c r="BS184" i="825"/>
  <c r="BR184" i="825"/>
  <c r="BP184" i="825"/>
  <c r="BM184" i="825"/>
  <c r="BL184" i="825"/>
  <c r="BF184" i="825"/>
  <c r="BD184" i="825"/>
  <c r="BB184" i="825"/>
  <c r="BA184" i="825"/>
  <c r="AZ184" i="825"/>
  <c r="AX184" i="825"/>
  <c r="AT184" i="825"/>
  <c r="BX183" i="825"/>
  <c r="BV183" i="825"/>
  <c r="BT183" i="825"/>
  <c r="BS183" i="825"/>
  <c r="BR183" i="825"/>
  <c r="BP183" i="825"/>
  <c r="BM183" i="825"/>
  <c r="BL183" i="825"/>
  <c r="BF183" i="825"/>
  <c r="BD183" i="825"/>
  <c r="BB183" i="825"/>
  <c r="BA183" i="825"/>
  <c r="AZ183" i="825"/>
  <c r="AX183" i="825"/>
  <c r="AT183" i="825"/>
  <c r="BX182" i="825"/>
  <c r="BV182" i="825"/>
  <c r="BT182" i="825"/>
  <c r="BS182" i="825"/>
  <c r="BR182" i="825"/>
  <c r="BP182" i="825"/>
  <c r="BM182" i="825"/>
  <c r="BL182" i="825"/>
  <c r="BF182" i="825"/>
  <c r="BD182" i="825"/>
  <c r="BB182" i="825"/>
  <c r="BA182" i="825"/>
  <c r="AZ182" i="825"/>
  <c r="AX182" i="825"/>
  <c r="AT182" i="825"/>
  <c r="BX181" i="825"/>
  <c r="BV181" i="825"/>
  <c r="BT181" i="825"/>
  <c r="BS181" i="825"/>
  <c r="BR181" i="825"/>
  <c r="BP181" i="825"/>
  <c r="BM181" i="825"/>
  <c r="BL181" i="825"/>
  <c r="BF181" i="825"/>
  <c r="BD181" i="825"/>
  <c r="BB181" i="825"/>
  <c r="BA181" i="825"/>
  <c r="AZ181" i="825"/>
  <c r="AX181" i="825"/>
  <c r="AT181" i="825"/>
  <c r="BX180" i="825"/>
  <c r="BV180" i="825"/>
  <c r="BT180" i="825"/>
  <c r="BS180" i="825"/>
  <c r="BR180" i="825"/>
  <c r="BP180" i="825"/>
  <c r="BM180" i="825"/>
  <c r="BL180" i="825"/>
  <c r="BF180" i="825"/>
  <c r="BD180" i="825"/>
  <c r="BB180" i="825"/>
  <c r="BA180" i="825"/>
  <c r="AZ180" i="825"/>
  <c r="AX180" i="825"/>
  <c r="AT180" i="825"/>
  <c r="BX179" i="825"/>
  <c r="BV179" i="825"/>
  <c r="BT179" i="825"/>
  <c r="BS179" i="825"/>
  <c r="BR179" i="825"/>
  <c r="BP179" i="825"/>
  <c r="BM179" i="825"/>
  <c r="BL179" i="825"/>
  <c r="BF179" i="825"/>
  <c r="BD179" i="825"/>
  <c r="BB179" i="825"/>
  <c r="BA179" i="825"/>
  <c r="AZ179" i="825"/>
  <c r="AX179" i="825"/>
  <c r="AT179" i="825"/>
  <c r="BX178" i="825"/>
  <c r="BV178" i="825"/>
  <c r="BT178" i="825"/>
  <c r="BS178" i="825"/>
  <c r="BR178" i="825"/>
  <c r="BP178" i="825"/>
  <c r="BM178" i="825"/>
  <c r="BL178" i="825"/>
  <c r="BF178" i="825"/>
  <c r="BD178" i="825"/>
  <c r="BB178" i="825"/>
  <c r="BA178" i="825"/>
  <c r="AZ178" i="825"/>
  <c r="AX178" i="825"/>
  <c r="AT178" i="825"/>
  <c r="BX177" i="825"/>
  <c r="BV177" i="825"/>
  <c r="BT177" i="825"/>
  <c r="BS177" i="825"/>
  <c r="BR177" i="825"/>
  <c r="BP177" i="825"/>
  <c r="BM177" i="825"/>
  <c r="BL177" i="825"/>
  <c r="BF177" i="825"/>
  <c r="BD177" i="825"/>
  <c r="BB177" i="825"/>
  <c r="BA177" i="825"/>
  <c r="AZ177" i="825"/>
  <c r="AX177" i="825"/>
  <c r="AT177" i="825"/>
  <c r="BX176" i="825"/>
  <c r="BV176" i="825"/>
  <c r="BT176" i="825"/>
  <c r="BS176" i="825"/>
  <c r="BR176" i="825"/>
  <c r="BP176" i="825"/>
  <c r="BM176" i="825"/>
  <c r="BL176" i="825"/>
  <c r="BF176" i="825"/>
  <c r="BD176" i="825"/>
  <c r="BB176" i="825"/>
  <c r="BA176" i="825"/>
  <c r="AZ176" i="825"/>
  <c r="AX176" i="825"/>
  <c r="AT176" i="825"/>
  <c r="BX175" i="825"/>
  <c r="BV175" i="825"/>
  <c r="BT175" i="825"/>
  <c r="BS175" i="825"/>
  <c r="BR175" i="825"/>
  <c r="BP175" i="825"/>
  <c r="BM175" i="825"/>
  <c r="BL175" i="825"/>
  <c r="BF175" i="825"/>
  <c r="BD175" i="825"/>
  <c r="BB175" i="825"/>
  <c r="BA175" i="825"/>
  <c r="AZ175" i="825"/>
  <c r="AX175" i="825"/>
  <c r="AT175" i="825"/>
  <c r="BX174" i="825"/>
  <c r="BV174" i="825"/>
  <c r="BT174" i="825"/>
  <c r="BS174" i="825"/>
  <c r="BR174" i="825"/>
  <c r="BP174" i="825"/>
  <c r="BM174" i="825"/>
  <c r="BL174" i="825"/>
  <c r="BF174" i="825"/>
  <c r="BD174" i="825"/>
  <c r="BB174" i="825"/>
  <c r="BA174" i="825"/>
  <c r="AZ174" i="825"/>
  <c r="AX174" i="825"/>
  <c r="AT174" i="825"/>
  <c r="BX173" i="825"/>
  <c r="BV173" i="825"/>
  <c r="BT173" i="825"/>
  <c r="BS173" i="825"/>
  <c r="BR173" i="825"/>
  <c r="BP173" i="825"/>
  <c r="BM173" i="825"/>
  <c r="BL173" i="825"/>
  <c r="BF173" i="825"/>
  <c r="BD173" i="825"/>
  <c r="BB173" i="825"/>
  <c r="BA173" i="825"/>
  <c r="AZ173" i="825"/>
  <c r="AX173" i="825"/>
  <c r="AT173" i="825"/>
  <c r="BX172" i="825"/>
  <c r="BV172" i="825"/>
  <c r="BT172" i="825"/>
  <c r="BS172" i="825"/>
  <c r="BR172" i="825"/>
  <c r="BP172" i="825"/>
  <c r="BM172" i="825"/>
  <c r="BL172" i="825"/>
  <c r="BF172" i="825"/>
  <c r="BD172" i="825"/>
  <c r="BB172" i="825"/>
  <c r="BA172" i="825"/>
  <c r="AZ172" i="825"/>
  <c r="AX172" i="825"/>
  <c r="AT172" i="825"/>
  <c r="BX171" i="825"/>
  <c r="BV171" i="825"/>
  <c r="BT171" i="825"/>
  <c r="BS171" i="825"/>
  <c r="BR171" i="825"/>
  <c r="BP171" i="825"/>
  <c r="BM171" i="825"/>
  <c r="BL171" i="825"/>
  <c r="BF171" i="825"/>
  <c r="BD171" i="825"/>
  <c r="BB171" i="825"/>
  <c r="BA171" i="825"/>
  <c r="AZ171" i="825"/>
  <c r="AX171" i="825"/>
  <c r="AT171" i="825"/>
  <c r="BX170" i="825"/>
  <c r="BV170" i="825"/>
  <c r="BT170" i="825"/>
  <c r="BS170" i="825"/>
  <c r="BR170" i="825"/>
  <c r="BP170" i="825"/>
  <c r="BM170" i="825"/>
  <c r="BL170" i="825"/>
  <c r="BF170" i="825"/>
  <c r="BD170" i="825"/>
  <c r="BB170" i="825"/>
  <c r="BA170" i="825"/>
  <c r="AZ170" i="825"/>
  <c r="AX170" i="825"/>
  <c r="AT170" i="825"/>
  <c r="BX169" i="825"/>
  <c r="BV169" i="825"/>
  <c r="BT169" i="825"/>
  <c r="BS169" i="825"/>
  <c r="BR169" i="825"/>
  <c r="BP169" i="825"/>
  <c r="BM169" i="825"/>
  <c r="BL169" i="825"/>
  <c r="BF169" i="825"/>
  <c r="BD169" i="825"/>
  <c r="BB169" i="825"/>
  <c r="BA169" i="825"/>
  <c r="AZ169" i="825"/>
  <c r="AX169" i="825"/>
  <c r="AT169" i="825"/>
  <c r="BX168" i="825"/>
  <c r="BV168" i="825"/>
  <c r="BT168" i="825"/>
  <c r="BS168" i="825"/>
  <c r="BR168" i="825"/>
  <c r="BP168" i="825"/>
  <c r="BM168" i="825"/>
  <c r="BL168" i="825"/>
  <c r="BF168" i="825"/>
  <c r="BD168" i="825"/>
  <c r="BB168" i="825"/>
  <c r="BA168" i="825"/>
  <c r="AZ168" i="825"/>
  <c r="AX168" i="825"/>
  <c r="AT168" i="825"/>
  <c r="BX167" i="825"/>
  <c r="BV167" i="825"/>
  <c r="BT167" i="825"/>
  <c r="BS167" i="825"/>
  <c r="BR167" i="825"/>
  <c r="BP167" i="825"/>
  <c r="BM167" i="825"/>
  <c r="BL167" i="825"/>
  <c r="BF167" i="825"/>
  <c r="BD167" i="825"/>
  <c r="BB167" i="825"/>
  <c r="BA167" i="825"/>
  <c r="AZ167" i="825"/>
  <c r="AX167" i="825"/>
  <c r="AT167" i="825"/>
  <c r="BX166" i="825"/>
  <c r="BV166" i="825"/>
  <c r="BT166" i="825"/>
  <c r="BS166" i="825"/>
  <c r="BR166" i="825"/>
  <c r="BP166" i="825"/>
  <c r="BM166" i="825"/>
  <c r="BL166" i="825"/>
  <c r="BF166" i="825"/>
  <c r="BD166" i="825"/>
  <c r="BB166" i="825"/>
  <c r="BA166" i="825"/>
  <c r="AZ166" i="825"/>
  <c r="AX166" i="825"/>
  <c r="AT166" i="825"/>
  <c r="BX165" i="825"/>
  <c r="BV165" i="825"/>
  <c r="BT165" i="825"/>
  <c r="BS165" i="825"/>
  <c r="BR165" i="825"/>
  <c r="BP165" i="825"/>
  <c r="BM165" i="825"/>
  <c r="BL165" i="825"/>
  <c r="BF165" i="825"/>
  <c r="BD165" i="825"/>
  <c r="BB165" i="825"/>
  <c r="BA165" i="825"/>
  <c r="AZ165" i="825"/>
  <c r="AX165" i="825"/>
  <c r="AT165" i="825"/>
  <c r="BX164" i="825"/>
  <c r="BV164" i="825"/>
  <c r="BT164" i="825"/>
  <c r="BS164" i="825"/>
  <c r="BR164" i="825"/>
  <c r="BP164" i="825"/>
  <c r="BM164" i="825"/>
  <c r="BL164" i="825"/>
  <c r="BF164" i="825"/>
  <c r="BD164" i="825"/>
  <c r="BB164" i="825"/>
  <c r="BA164" i="825"/>
  <c r="AZ164" i="825"/>
  <c r="AX164" i="825"/>
  <c r="AT164" i="825"/>
  <c r="BX163" i="825"/>
  <c r="BV163" i="825"/>
  <c r="BT163" i="825"/>
  <c r="BS163" i="825"/>
  <c r="BR163" i="825"/>
  <c r="BP163" i="825"/>
  <c r="BM163" i="825"/>
  <c r="BL163" i="825"/>
  <c r="BF163" i="825"/>
  <c r="BD163" i="825"/>
  <c r="BB163" i="825"/>
  <c r="BA163" i="825"/>
  <c r="AZ163" i="825"/>
  <c r="AX163" i="825"/>
  <c r="AT163" i="825"/>
  <c r="BX162" i="825"/>
  <c r="BV162" i="825"/>
  <c r="BT162" i="825"/>
  <c r="BS162" i="825"/>
  <c r="BR162" i="825"/>
  <c r="BP162" i="825"/>
  <c r="BM162" i="825"/>
  <c r="BL162" i="825"/>
  <c r="BF162" i="825"/>
  <c r="BD162" i="825"/>
  <c r="BB162" i="825"/>
  <c r="BA162" i="825"/>
  <c r="AZ162" i="825"/>
  <c r="AX162" i="825"/>
  <c r="AT162" i="825"/>
  <c r="BX161" i="825"/>
  <c r="BV161" i="825"/>
  <c r="BT161" i="825"/>
  <c r="BS161" i="825"/>
  <c r="BR161" i="825"/>
  <c r="BP161" i="825"/>
  <c r="BM161" i="825"/>
  <c r="BL161" i="825"/>
  <c r="BF161" i="825"/>
  <c r="BD161" i="825"/>
  <c r="BB161" i="825"/>
  <c r="BA161" i="825"/>
  <c r="AZ161" i="825"/>
  <c r="AX161" i="825"/>
  <c r="AT161" i="825"/>
  <c r="BX160" i="825"/>
  <c r="BV160" i="825"/>
  <c r="BT160" i="825"/>
  <c r="BS160" i="825"/>
  <c r="BR160" i="825"/>
  <c r="BP160" i="825"/>
  <c r="BM160" i="825"/>
  <c r="BL160" i="825"/>
  <c r="BF160" i="825"/>
  <c r="BD160" i="825"/>
  <c r="BB160" i="825"/>
  <c r="BA160" i="825"/>
  <c r="AZ160" i="825"/>
  <c r="AX160" i="825"/>
  <c r="AT160" i="825"/>
  <c r="BX159" i="825"/>
  <c r="BV159" i="825"/>
  <c r="BT159" i="825"/>
  <c r="BS159" i="825"/>
  <c r="BR159" i="825"/>
  <c r="BP159" i="825"/>
  <c r="BM159" i="825"/>
  <c r="BL159" i="825"/>
  <c r="BF159" i="825"/>
  <c r="BD159" i="825"/>
  <c r="BB159" i="825"/>
  <c r="BA159" i="825"/>
  <c r="AZ159" i="825"/>
  <c r="AX159" i="825"/>
  <c r="AT159" i="825"/>
  <c r="BX158" i="825"/>
  <c r="BV158" i="825"/>
  <c r="BT158" i="825"/>
  <c r="BS158" i="825"/>
  <c r="BR158" i="825"/>
  <c r="BP158" i="825"/>
  <c r="BM158" i="825"/>
  <c r="BL158" i="825"/>
  <c r="BF158" i="825"/>
  <c r="BD158" i="825"/>
  <c r="BB158" i="825"/>
  <c r="BA158" i="825"/>
  <c r="AZ158" i="825"/>
  <c r="AX158" i="825"/>
  <c r="AT158" i="825"/>
  <c r="BX157" i="825"/>
  <c r="BV157" i="825"/>
  <c r="BT157" i="825"/>
  <c r="BS157" i="825"/>
  <c r="BR157" i="825"/>
  <c r="BP157" i="825"/>
  <c r="BM157" i="825"/>
  <c r="BL157" i="825"/>
  <c r="BF157" i="825"/>
  <c r="BD157" i="825"/>
  <c r="BB157" i="825"/>
  <c r="BA157" i="825"/>
  <c r="AZ157" i="825"/>
  <c r="AX157" i="825"/>
  <c r="AT157" i="825"/>
  <c r="BX156" i="825"/>
  <c r="BV156" i="825"/>
  <c r="BT156" i="825"/>
  <c r="BS156" i="825"/>
  <c r="BR156" i="825"/>
  <c r="BP156" i="825"/>
  <c r="BM156" i="825"/>
  <c r="BL156" i="825"/>
  <c r="BF156" i="825"/>
  <c r="BD156" i="825"/>
  <c r="BB156" i="825"/>
  <c r="BA156" i="825"/>
  <c r="AZ156" i="825"/>
  <c r="AX156" i="825"/>
  <c r="AT156" i="825"/>
  <c r="BX155" i="825"/>
  <c r="BV155" i="825"/>
  <c r="BT155" i="825"/>
  <c r="BS155" i="825"/>
  <c r="BR155" i="825"/>
  <c r="BP155" i="825"/>
  <c r="BM155" i="825"/>
  <c r="BL155" i="825"/>
  <c r="BF155" i="825"/>
  <c r="BD155" i="825"/>
  <c r="BB155" i="825"/>
  <c r="BA155" i="825"/>
  <c r="AZ155" i="825"/>
  <c r="AX155" i="825"/>
  <c r="AT155" i="825"/>
  <c r="BX154" i="825"/>
  <c r="BV154" i="825"/>
  <c r="BT154" i="825"/>
  <c r="BS154" i="825"/>
  <c r="BR154" i="825"/>
  <c r="BP154" i="825"/>
  <c r="BM154" i="825"/>
  <c r="BL154" i="825"/>
  <c r="BF154" i="825"/>
  <c r="BD154" i="825"/>
  <c r="BB154" i="825"/>
  <c r="BA154" i="825"/>
  <c r="AZ154" i="825"/>
  <c r="AX154" i="825"/>
  <c r="AT154" i="825"/>
  <c r="BX153" i="825"/>
  <c r="BV153" i="825"/>
  <c r="BT153" i="825"/>
  <c r="BS153" i="825"/>
  <c r="BR153" i="825"/>
  <c r="BP153" i="825"/>
  <c r="BM153" i="825"/>
  <c r="BL153" i="825"/>
  <c r="BF153" i="825"/>
  <c r="BD153" i="825"/>
  <c r="BB153" i="825"/>
  <c r="BA153" i="825"/>
  <c r="AZ153" i="825"/>
  <c r="AX153" i="825"/>
  <c r="AT153" i="825"/>
  <c r="BX152" i="825"/>
  <c r="BV152" i="825"/>
  <c r="BT152" i="825"/>
  <c r="BS152" i="825"/>
  <c r="BR152" i="825"/>
  <c r="BP152" i="825"/>
  <c r="BM152" i="825"/>
  <c r="BL152" i="825"/>
  <c r="BF152" i="825"/>
  <c r="BD152" i="825"/>
  <c r="BB152" i="825"/>
  <c r="BA152" i="825"/>
  <c r="AZ152" i="825"/>
  <c r="AX152" i="825"/>
  <c r="AT152" i="825"/>
  <c r="BX151" i="825"/>
  <c r="BV151" i="825"/>
  <c r="BT151" i="825"/>
  <c r="BS151" i="825"/>
  <c r="BR151" i="825"/>
  <c r="BP151" i="825"/>
  <c r="BM151" i="825"/>
  <c r="BL151" i="825"/>
  <c r="BF151" i="825"/>
  <c r="BD151" i="825"/>
  <c r="BB151" i="825"/>
  <c r="BA151" i="825"/>
  <c r="AZ151" i="825"/>
  <c r="AX151" i="825"/>
  <c r="AT151" i="825"/>
  <c r="BX150" i="825"/>
  <c r="BV150" i="825"/>
  <c r="BT150" i="825"/>
  <c r="BS150" i="825"/>
  <c r="BR150" i="825"/>
  <c r="BP150" i="825"/>
  <c r="BM150" i="825"/>
  <c r="BL150" i="825"/>
  <c r="BF150" i="825"/>
  <c r="BD150" i="825"/>
  <c r="BB150" i="825"/>
  <c r="BA150" i="825"/>
  <c r="AZ150" i="825"/>
  <c r="AX150" i="825"/>
  <c r="AT150" i="825"/>
  <c r="BX149" i="825"/>
  <c r="BV149" i="825"/>
  <c r="BT149" i="825"/>
  <c r="BS149" i="825"/>
  <c r="BR149" i="825"/>
  <c r="BP149" i="825"/>
  <c r="BM149" i="825"/>
  <c r="BL149" i="825"/>
  <c r="BF149" i="825"/>
  <c r="BD149" i="825"/>
  <c r="BB149" i="825"/>
  <c r="BA149" i="825"/>
  <c r="AZ149" i="825"/>
  <c r="AX149" i="825"/>
  <c r="AT149" i="825"/>
  <c r="BX148" i="825"/>
  <c r="BV148" i="825"/>
  <c r="BT148" i="825"/>
  <c r="BS148" i="825"/>
  <c r="BR148" i="825"/>
  <c r="BP148" i="825"/>
  <c r="BM148" i="825"/>
  <c r="BL148" i="825"/>
  <c r="BF148" i="825"/>
  <c r="BD148" i="825"/>
  <c r="BB148" i="825"/>
  <c r="BA148" i="825"/>
  <c r="AZ148" i="825"/>
  <c r="AX148" i="825"/>
  <c r="AT148" i="825"/>
  <c r="BX147" i="825"/>
  <c r="BV147" i="825"/>
  <c r="BT147" i="825"/>
  <c r="BS147" i="825"/>
  <c r="BR147" i="825"/>
  <c r="BP147" i="825"/>
  <c r="BM147" i="825"/>
  <c r="BL147" i="825"/>
  <c r="BF147" i="825"/>
  <c r="BD147" i="825"/>
  <c r="BB147" i="825"/>
  <c r="BA147" i="825"/>
  <c r="AZ147" i="825"/>
  <c r="AX147" i="825"/>
  <c r="AT147" i="825"/>
  <c r="BX146" i="825"/>
  <c r="BV146" i="825"/>
  <c r="BT146" i="825"/>
  <c r="BS146" i="825"/>
  <c r="BR146" i="825"/>
  <c r="BP146" i="825"/>
  <c r="BM146" i="825"/>
  <c r="BL146" i="825"/>
  <c r="BF146" i="825"/>
  <c r="BD146" i="825"/>
  <c r="BB146" i="825"/>
  <c r="BA146" i="825"/>
  <c r="AZ146" i="825"/>
  <c r="AX146" i="825"/>
  <c r="AT146" i="825"/>
  <c r="BX145" i="825"/>
  <c r="BV145" i="825"/>
  <c r="BT145" i="825"/>
  <c r="BS145" i="825"/>
  <c r="BR145" i="825"/>
  <c r="BP145" i="825"/>
  <c r="BM145" i="825"/>
  <c r="BL145" i="825"/>
  <c r="BF145" i="825"/>
  <c r="BD145" i="825"/>
  <c r="BB145" i="825"/>
  <c r="BA145" i="825"/>
  <c r="AZ145" i="825"/>
  <c r="AX145" i="825"/>
  <c r="AT145" i="825"/>
  <c r="BX144" i="825"/>
  <c r="BV144" i="825"/>
  <c r="BT144" i="825"/>
  <c r="BS144" i="825"/>
  <c r="BR144" i="825"/>
  <c r="BP144" i="825"/>
  <c r="BM144" i="825"/>
  <c r="BL144" i="825"/>
  <c r="BF144" i="825"/>
  <c r="BD144" i="825"/>
  <c r="BB144" i="825"/>
  <c r="BA144" i="825"/>
  <c r="AZ144" i="825"/>
  <c r="AX144" i="825"/>
  <c r="AT144" i="825"/>
  <c r="BX143" i="825"/>
  <c r="BV143" i="825"/>
  <c r="BT143" i="825"/>
  <c r="BS143" i="825"/>
  <c r="BR143" i="825"/>
  <c r="BP143" i="825"/>
  <c r="BM143" i="825"/>
  <c r="BL143" i="825"/>
  <c r="BF143" i="825"/>
  <c r="BD143" i="825"/>
  <c r="BB143" i="825"/>
  <c r="BA143" i="825"/>
  <c r="AZ143" i="825"/>
  <c r="AX143" i="825"/>
  <c r="AT143" i="825"/>
  <c r="BX142" i="825"/>
  <c r="BV142" i="825"/>
  <c r="BT142" i="825"/>
  <c r="BS142" i="825"/>
  <c r="BR142" i="825"/>
  <c r="BP142" i="825"/>
  <c r="BM142" i="825"/>
  <c r="BL142" i="825"/>
  <c r="BF142" i="825"/>
  <c r="BD142" i="825"/>
  <c r="BB142" i="825"/>
  <c r="BA142" i="825"/>
  <c r="AZ142" i="825"/>
  <c r="AX142" i="825"/>
  <c r="AT142" i="825"/>
  <c r="BX141" i="825"/>
  <c r="BV141" i="825"/>
  <c r="BT141" i="825"/>
  <c r="BS141" i="825"/>
  <c r="BR141" i="825"/>
  <c r="BP141" i="825"/>
  <c r="BM141" i="825"/>
  <c r="BL141" i="825"/>
  <c r="BF141" i="825"/>
  <c r="BD141" i="825"/>
  <c r="BB141" i="825"/>
  <c r="BA141" i="825"/>
  <c r="AZ141" i="825"/>
  <c r="AX141" i="825"/>
  <c r="AT141" i="825"/>
  <c r="BX140" i="825"/>
  <c r="BV140" i="825"/>
  <c r="BT140" i="825"/>
  <c r="BS140" i="825"/>
  <c r="BR140" i="825"/>
  <c r="BP140" i="825"/>
  <c r="BM140" i="825"/>
  <c r="BL140" i="825"/>
  <c r="BF140" i="825"/>
  <c r="BD140" i="825"/>
  <c r="BB140" i="825"/>
  <c r="BA140" i="825"/>
  <c r="AZ140" i="825"/>
  <c r="AX140" i="825"/>
  <c r="AT140" i="825"/>
  <c r="BX139" i="825"/>
  <c r="BV139" i="825"/>
  <c r="BT139" i="825"/>
  <c r="BS139" i="825"/>
  <c r="BR139" i="825"/>
  <c r="BP139" i="825"/>
  <c r="BM139" i="825"/>
  <c r="BL139" i="825"/>
  <c r="BF139" i="825"/>
  <c r="BD139" i="825"/>
  <c r="BB139" i="825"/>
  <c r="BA139" i="825"/>
  <c r="AZ139" i="825"/>
  <c r="AX139" i="825"/>
  <c r="AT139" i="825"/>
  <c r="BX138" i="825"/>
  <c r="BV138" i="825"/>
  <c r="BT138" i="825"/>
  <c r="BS138" i="825"/>
  <c r="BR138" i="825"/>
  <c r="BP138" i="825"/>
  <c r="BM138" i="825"/>
  <c r="BL138" i="825"/>
  <c r="BF138" i="825"/>
  <c r="BD138" i="825"/>
  <c r="BB138" i="825"/>
  <c r="BA138" i="825"/>
  <c r="AZ138" i="825"/>
  <c r="AX138" i="825"/>
  <c r="AT138" i="825"/>
  <c r="BX137" i="825"/>
  <c r="BV137" i="825"/>
  <c r="BT137" i="825"/>
  <c r="BS137" i="825"/>
  <c r="BR137" i="825"/>
  <c r="BP137" i="825"/>
  <c r="BM137" i="825"/>
  <c r="BL137" i="825"/>
  <c r="BF137" i="825"/>
  <c r="BD137" i="825"/>
  <c r="BB137" i="825"/>
  <c r="BA137" i="825"/>
  <c r="AZ137" i="825"/>
  <c r="AX137" i="825"/>
  <c r="AT137" i="825"/>
  <c r="BX136" i="825"/>
  <c r="BV136" i="825"/>
  <c r="BT136" i="825"/>
  <c r="BS136" i="825"/>
  <c r="BR136" i="825"/>
  <c r="BP136" i="825"/>
  <c r="BM136" i="825"/>
  <c r="BL136" i="825"/>
  <c r="BF136" i="825"/>
  <c r="BD136" i="825"/>
  <c r="BB136" i="825"/>
  <c r="BA136" i="825"/>
  <c r="AZ136" i="825"/>
  <c r="AX136" i="825"/>
  <c r="AT136" i="825"/>
  <c r="BX135" i="825"/>
  <c r="BV135" i="825"/>
  <c r="BT135" i="825"/>
  <c r="BS135" i="825"/>
  <c r="BR135" i="825"/>
  <c r="BP135" i="825"/>
  <c r="BM135" i="825"/>
  <c r="BL135" i="825"/>
  <c r="BF135" i="825"/>
  <c r="BD135" i="825"/>
  <c r="BB135" i="825"/>
  <c r="BA135" i="825"/>
  <c r="AZ135" i="825"/>
  <c r="AX135" i="825"/>
  <c r="AT135" i="825"/>
  <c r="BX134" i="825"/>
  <c r="BV134" i="825"/>
  <c r="BT134" i="825"/>
  <c r="BS134" i="825"/>
  <c r="BR134" i="825"/>
  <c r="BP134" i="825"/>
  <c r="BM134" i="825"/>
  <c r="BL134" i="825"/>
  <c r="BF134" i="825"/>
  <c r="BD134" i="825"/>
  <c r="BB134" i="825"/>
  <c r="BA134" i="825"/>
  <c r="AZ134" i="825"/>
  <c r="AX134" i="825"/>
  <c r="AT134" i="825"/>
  <c r="BX133" i="825"/>
  <c r="BV133" i="825"/>
  <c r="BT133" i="825"/>
  <c r="BS133" i="825"/>
  <c r="BR133" i="825"/>
  <c r="BP133" i="825"/>
  <c r="BM133" i="825"/>
  <c r="BL133" i="825"/>
  <c r="BF133" i="825"/>
  <c r="BD133" i="825"/>
  <c r="BB133" i="825"/>
  <c r="BA133" i="825"/>
  <c r="AZ133" i="825"/>
  <c r="AX133" i="825"/>
  <c r="AT133" i="825"/>
  <c r="BX132" i="825"/>
  <c r="BV132" i="825"/>
  <c r="BT132" i="825"/>
  <c r="BS132" i="825"/>
  <c r="BR132" i="825"/>
  <c r="BP132" i="825"/>
  <c r="BM132" i="825"/>
  <c r="BL132" i="825"/>
  <c r="BF132" i="825"/>
  <c r="BD132" i="825"/>
  <c r="BB132" i="825"/>
  <c r="BA132" i="825"/>
  <c r="AZ132" i="825"/>
  <c r="AX132" i="825"/>
  <c r="AT132" i="825"/>
  <c r="BX131" i="825"/>
  <c r="BV131" i="825"/>
  <c r="BT131" i="825"/>
  <c r="BS131" i="825"/>
  <c r="BR131" i="825"/>
  <c r="BP131" i="825"/>
  <c r="BM131" i="825"/>
  <c r="BL131" i="825"/>
  <c r="BF131" i="825"/>
  <c r="BD131" i="825"/>
  <c r="BB131" i="825"/>
  <c r="BA131" i="825"/>
  <c r="AZ131" i="825"/>
  <c r="AX131" i="825"/>
  <c r="AT131" i="825"/>
  <c r="BX130" i="825"/>
  <c r="BV130" i="825"/>
  <c r="BT130" i="825"/>
  <c r="BS130" i="825"/>
  <c r="BR130" i="825"/>
  <c r="BP130" i="825"/>
  <c r="BM130" i="825"/>
  <c r="BL130" i="825"/>
  <c r="BF130" i="825"/>
  <c r="BD130" i="825"/>
  <c r="BB130" i="825"/>
  <c r="BA130" i="825"/>
  <c r="AZ130" i="825"/>
  <c r="AX130" i="825"/>
  <c r="AT130" i="825"/>
  <c r="BX129" i="825"/>
  <c r="BV129" i="825"/>
  <c r="BT129" i="825"/>
  <c r="BS129" i="825"/>
  <c r="BR129" i="825"/>
  <c r="BP129" i="825"/>
  <c r="BM129" i="825"/>
  <c r="BL129" i="825"/>
  <c r="BF129" i="825"/>
  <c r="BD129" i="825"/>
  <c r="BB129" i="825"/>
  <c r="BA129" i="825"/>
  <c r="AZ129" i="825"/>
  <c r="AX129" i="825"/>
  <c r="AT129" i="825"/>
  <c r="BX128" i="825"/>
  <c r="BV128" i="825"/>
  <c r="BT128" i="825"/>
  <c r="BS128" i="825"/>
  <c r="BR128" i="825"/>
  <c r="BP128" i="825"/>
  <c r="BM128" i="825"/>
  <c r="BL128" i="825"/>
  <c r="BF128" i="825"/>
  <c r="BD128" i="825"/>
  <c r="BB128" i="825"/>
  <c r="BA128" i="825"/>
  <c r="AZ128" i="825"/>
  <c r="AX128" i="825"/>
  <c r="AT128" i="825"/>
  <c r="BX127" i="825"/>
  <c r="BT127" i="825"/>
  <c r="BS127" i="825"/>
  <c r="BR127" i="825"/>
  <c r="BP127" i="825"/>
  <c r="BF127" i="825"/>
  <c r="BB127" i="825"/>
  <c r="BA127" i="825"/>
  <c r="AZ127" i="825"/>
  <c r="AX127" i="825"/>
  <c r="BX126" i="825"/>
  <c r="BT126" i="825"/>
  <c r="BS126" i="825"/>
  <c r="BR126" i="825"/>
  <c r="BP126" i="825"/>
  <c r="BF126" i="825"/>
  <c r="BB126" i="825"/>
  <c r="BA126" i="825"/>
  <c r="AZ126" i="825"/>
  <c r="AX126" i="825"/>
  <c r="BX125" i="825"/>
  <c r="BT125" i="825"/>
  <c r="BS125" i="825"/>
  <c r="BR125" i="825"/>
  <c r="BP125" i="825"/>
  <c r="BL125" i="825"/>
  <c r="BL126" i="825" s="1"/>
  <c r="BL127" i="825" s="1"/>
  <c r="BF125" i="825"/>
  <c r="BE125" i="825" s="1"/>
  <c r="BB125" i="825"/>
  <c r="BA125" i="825"/>
  <c r="AZ125" i="825"/>
  <c r="AX125" i="825"/>
  <c r="AT125" i="825"/>
  <c r="AT126" i="825" s="1"/>
  <c r="AT127" i="825" s="1"/>
  <c r="BO121" i="825"/>
  <c r="AW121" i="825"/>
  <c r="BZ120" i="825"/>
  <c r="BO120" i="825"/>
  <c r="BH120" i="825"/>
  <c r="AW120" i="825"/>
  <c r="BO119" i="825"/>
  <c r="AW119" i="825"/>
  <c r="BT117" i="825"/>
  <c r="BB116" i="825"/>
  <c r="AW116" i="825"/>
  <c r="AW115" i="825"/>
  <c r="AW114" i="825"/>
  <c r="V90" i="825"/>
  <c r="S90" i="825"/>
  <c r="N89" i="825"/>
  <c r="X87" i="825"/>
  <c r="V87" i="825"/>
  <c r="S87" i="825"/>
  <c r="P87" i="825"/>
  <c r="K87" i="825"/>
  <c r="AU204" i="825" s="1"/>
  <c r="J87" i="825"/>
  <c r="I87" i="825"/>
  <c r="X86" i="825"/>
  <c r="V86" i="825"/>
  <c r="S86" i="825"/>
  <c r="P86" i="825"/>
  <c r="K86" i="825"/>
  <c r="AU203" i="825" s="1"/>
  <c r="J86" i="825"/>
  <c r="I86" i="825"/>
  <c r="X85" i="825"/>
  <c r="V85" i="825"/>
  <c r="S85" i="825"/>
  <c r="P85" i="825"/>
  <c r="K85" i="825"/>
  <c r="AU202" i="825" s="1"/>
  <c r="J85" i="825"/>
  <c r="I85" i="825"/>
  <c r="X84" i="825"/>
  <c r="V84" i="825"/>
  <c r="S84" i="825"/>
  <c r="P84" i="825"/>
  <c r="K84" i="825"/>
  <c r="AU201" i="825" s="1"/>
  <c r="J84" i="825"/>
  <c r="I84" i="825"/>
  <c r="X83" i="825"/>
  <c r="V83" i="825"/>
  <c r="S83" i="825"/>
  <c r="P83" i="825"/>
  <c r="K83" i="825"/>
  <c r="AU200" i="825" s="1"/>
  <c r="J83" i="825"/>
  <c r="I83" i="825"/>
  <c r="X82" i="825"/>
  <c r="V82" i="825"/>
  <c r="S82" i="825"/>
  <c r="P82" i="825"/>
  <c r="K82" i="825"/>
  <c r="AU199" i="825" s="1"/>
  <c r="J82" i="825"/>
  <c r="I82" i="825"/>
  <c r="X81" i="825"/>
  <c r="V81" i="825"/>
  <c r="S81" i="825"/>
  <c r="P81" i="825"/>
  <c r="K81" i="825"/>
  <c r="AU198" i="825" s="1"/>
  <c r="J81" i="825"/>
  <c r="I81" i="825"/>
  <c r="X80" i="825"/>
  <c r="V80" i="825"/>
  <c r="S80" i="825"/>
  <c r="P80" i="825"/>
  <c r="K80" i="825"/>
  <c r="AU197" i="825" s="1"/>
  <c r="J80" i="825"/>
  <c r="I80" i="825"/>
  <c r="X79" i="825"/>
  <c r="V79" i="825"/>
  <c r="S79" i="825"/>
  <c r="P79" i="825"/>
  <c r="K79" i="825"/>
  <c r="AU196" i="825" s="1"/>
  <c r="J79" i="825"/>
  <c r="I79" i="825"/>
  <c r="X78" i="825"/>
  <c r="V78" i="825"/>
  <c r="S78" i="825"/>
  <c r="P78" i="825"/>
  <c r="K78" i="825"/>
  <c r="AU195" i="825" s="1"/>
  <c r="J78" i="825"/>
  <c r="I78" i="825"/>
  <c r="X77" i="825"/>
  <c r="V77" i="825"/>
  <c r="S77" i="825"/>
  <c r="P77" i="825"/>
  <c r="K77" i="825"/>
  <c r="AU194" i="825" s="1"/>
  <c r="J77" i="825"/>
  <c r="I77" i="825"/>
  <c r="X76" i="825"/>
  <c r="V76" i="825"/>
  <c r="S76" i="825"/>
  <c r="P76" i="825"/>
  <c r="K76" i="825"/>
  <c r="AU193" i="825" s="1"/>
  <c r="J76" i="825"/>
  <c r="I76" i="825"/>
  <c r="X75" i="825"/>
  <c r="V75" i="825"/>
  <c r="S75" i="825"/>
  <c r="P75" i="825"/>
  <c r="K75" i="825"/>
  <c r="AU192" i="825" s="1"/>
  <c r="J75" i="825"/>
  <c r="I75" i="825"/>
  <c r="X74" i="825"/>
  <c r="V74" i="825"/>
  <c r="S74" i="825"/>
  <c r="P74" i="825"/>
  <c r="K74" i="825"/>
  <c r="AU191" i="825" s="1"/>
  <c r="J74" i="825"/>
  <c r="I74" i="825"/>
  <c r="X73" i="825"/>
  <c r="V73" i="825"/>
  <c r="S73" i="825"/>
  <c r="P73" i="825"/>
  <c r="K73" i="825"/>
  <c r="AU190" i="825" s="1"/>
  <c r="J73" i="825"/>
  <c r="I73" i="825"/>
  <c r="X72" i="825"/>
  <c r="V72" i="825"/>
  <c r="S72" i="825"/>
  <c r="P72" i="825"/>
  <c r="K72" i="825"/>
  <c r="AU189" i="825" s="1"/>
  <c r="J72" i="825"/>
  <c r="I72" i="825"/>
  <c r="X71" i="825"/>
  <c r="V71" i="825"/>
  <c r="S71" i="825"/>
  <c r="P71" i="825"/>
  <c r="K71" i="825"/>
  <c r="AU188" i="825" s="1"/>
  <c r="J71" i="825"/>
  <c r="I71" i="825"/>
  <c r="X70" i="825"/>
  <c r="V70" i="825"/>
  <c r="S70" i="825"/>
  <c r="P70" i="825"/>
  <c r="K70" i="825"/>
  <c r="AU187" i="825" s="1"/>
  <c r="J70" i="825"/>
  <c r="I70" i="825"/>
  <c r="X69" i="825"/>
  <c r="V69" i="825"/>
  <c r="S69" i="825"/>
  <c r="P69" i="825"/>
  <c r="K69" i="825"/>
  <c r="AU186" i="825" s="1"/>
  <c r="J69" i="825"/>
  <c r="I69" i="825"/>
  <c r="X68" i="825"/>
  <c r="V68" i="825"/>
  <c r="S68" i="825"/>
  <c r="P68" i="825"/>
  <c r="K68" i="825"/>
  <c r="AU185" i="825" s="1"/>
  <c r="J68" i="825"/>
  <c r="I68" i="825"/>
  <c r="X67" i="825"/>
  <c r="V67" i="825"/>
  <c r="S67" i="825"/>
  <c r="P67" i="825"/>
  <c r="K67" i="825"/>
  <c r="AU184" i="825" s="1"/>
  <c r="J67" i="825"/>
  <c r="I67" i="825"/>
  <c r="X66" i="825"/>
  <c r="V66" i="825"/>
  <c r="S66" i="825"/>
  <c r="P66" i="825"/>
  <c r="K66" i="825"/>
  <c r="AU183" i="825" s="1"/>
  <c r="J66" i="825"/>
  <c r="I66" i="825"/>
  <c r="X65" i="825"/>
  <c r="V65" i="825"/>
  <c r="S65" i="825"/>
  <c r="P65" i="825"/>
  <c r="K65" i="825"/>
  <c r="AU182" i="825" s="1"/>
  <c r="J65" i="825"/>
  <c r="I65" i="825"/>
  <c r="X64" i="825"/>
  <c r="V64" i="825"/>
  <c r="S64" i="825"/>
  <c r="P64" i="825"/>
  <c r="K64" i="825"/>
  <c r="AU181" i="825" s="1"/>
  <c r="J64" i="825"/>
  <c r="I64" i="825"/>
  <c r="X63" i="825"/>
  <c r="V63" i="825"/>
  <c r="S63" i="825"/>
  <c r="P63" i="825"/>
  <c r="K63" i="825"/>
  <c r="AU180" i="825" s="1"/>
  <c r="J63" i="825"/>
  <c r="I63" i="825"/>
  <c r="X62" i="825"/>
  <c r="V62" i="825"/>
  <c r="S62" i="825"/>
  <c r="P62" i="825"/>
  <c r="K62" i="825"/>
  <c r="AU179" i="825" s="1"/>
  <c r="J62" i="825"/>
  <c r="I62" i="825"/>
  <c r="X61" i="825"/>
  <c r="V61" i="825"/>
  <c r="S61" i="825"/>
  <c r="P61" i="825"/>
  <c r="K61" i="825"/>
  <c r="AU178" i="825" s="1"/>
  <c r="J61" i="825"/>
  <c r="I61" i="825"/>
  <c r="X60" i="825"/>
  <c r="V60" i="825"/>
  <c r="S60" i="825"/>
  <c r="P60" i="825"/>
  <c r="K60" i="825"/>
  <c r="AU177" i="825" s="1"/>
  <c r="J60" i="825"/>
  <c r="I60" i="825"/>
  <c r="X59" i="825"/>
  <c r="V59" i="825"/>
  <c r="S59" i="825"/>
  <c r="P59" i="825"/>
  <c r="K59" i="825"/>
  <c r="AU176" i="825" s="1"/>
  <c r="J59" i="825"/>
  <c r="I59" i="825"/>
  <c r="X58" i="825"/>
  <c r="V58" i="825"/>
  <c r="S58" i="825"/>
  <c r="P58" i="825"/>
  <c r="K58" i="825"/>
  <c r="AU175" i="825" s="1"/>
  <c r="J58" i="825"/>
  <c r="I58" i="825"/>
  <c r="X57" i="825"/>
  <c r="V57" i="825"/>
  <c r="S57" i="825"/>
  <c r="P57" i="825"/>
  <c r="K57" i="825"/>
  <c r="AU174" i="825" s="1"/>
  <c r="J57" i="825"/>
  <c r="I57" i="825"/>
  <c r="X56" i="825"/>
  <c r="V56" i="825"/>
  <c r="S56" i="825"/>
  <c r="P56" i="825"/>
  <c r="K56" i="825"/>
  <c r="AU173" i="825" s="1"/>
  <c r="J56" i="825"/>
  <c r="I56" i="825"/>
  <c r="X55" i="825"/>
  <c r="V55" i="825"/>
  <c r="S55" i="825"/>
  <c r="P55" i="825"/>
  <c r="K55" i="825"/>
  <c r="AU172" i="825" s="1"/>
  <c r="J55" i="825"/>
  <c r="I55" i="825"/>
  <c r="X54" i="825"/>
  <c r="V54" i="825"/>
  <c r="S54" i="825"/>
  <c r="P54" i="825"/>
  <c r="K54" i="825"/>
  <c r="AU171" i="825" s="1"/>
  <c r="J54" i="825"/>
  <c r="I54" i="825"/>
  <c r="X53" i="825"/>
  <c r="V53" i="825"/>
  <c r="S53" i="825"/>
  <c r="P53" i="825"/>
  <c r="K53" i="825"/>
  <c r="AU170" i="825" s="1"/>
  <c r="J53" i="825"/>
  <c r="I53" i="825"/>
  <c r="X52" i="825"/>
  <c r="V52" i="825"/>
  <c r="S52" i="825"/>
  <c r="P52" i="825"/>
  <c r="K52" i="825"/>
  <c r="AU169" i="825" s="1"/>
  <c r="J52" i="825"/>
  <c r="I52" i="825"/>
  <c r="X51" i="825"/>
  <c r="V51" i="825"/>
  <c r="S51" i="825"/>
  <c r="P51" i="825"/>
  <c r="K51" i="825"/>
  <c r="AU168" i="825" s="1"/>
  <c r="J51" i="825"/>
  <c r="I51" i="825"/>
  <c r="X50" i="825"/>
  <c r="V50" i="825"/>
  <c r="S50" i="825"/>
  <c r="P50" i="825"/>
  <c r="K50" i="825"/>
  <c r="AU167" i="825" s="1"/>
  <c r="J50" i="825"/>
  <c r="I50" i="825"/>
  <c r="X49" i="825"/>
  <c r="V49" i="825"/>
  <c r="S49" i="825"/>
  <c r="P49" i="825"/>
  <c r="K49" i="825"/>
  <c r="AU166" i="825" s="1"/>
  <c r="J49" i="825"/>
  <c r="I49" i="825"/>
  <c r="X48" i="825"/>
  <c r="V48" i="825"/>
  <c r="S48" i="825"/>
  <c r="P48" i="825"/>
  <c r="K48" i="825"/>
  <c r="AU165" i="825" s="1"/>
  <c r="J48" i="825"/>
  <c r="I48" i="825"/>
  <c r="X47" i="825"/>
  <c r="V47" i="825"/>
  <c r="S47" i="825"/>
  <c r="P47" i="825"/>
  <c r="K47" i="825"/>
  <c r="AU164" i="825" s="1"/>
  <c r="J47" i="825"/>
  <c r="I47" i="825"/>
  <c r="X46" i="825"/>
  <c r="V46" i="825"/>
  <c r="S46" i="825"/>
  <c r="P46" i="825"/>
  <c r="K46" i="825"/>
  <c r="AU163" i="825" s="1"/>
  <c r="J46" i="825"/>
  <c r="I46" i="825"/>
  <c r="X45" i="825"/>
  <c r="V45" i="825"/>
  <c r="S45" i="825"/>
  <c r="P45" i="825"/>
  <c r="K45" i="825"/>
  <c r="AU162" i="825" s="1"/>
  <c r="J45" i="825"/>
  <c r="I45" i="825"/>
  <c r="X44" i="825"/>
  <c r="V44" i="825"/>
  <c r="S44" i="825"/>
  <c r="P44" i="825"/>
  <c r="K44" i="825"/>
  <c r="AU161" i="825" s="1"/>
  <c r="J44" i="825"/>
  <c r="I44" i="825"/>
  <c r="X43" i="825"/>
  <c r="V43" i="825"/>
  <c r="S43" i="825"/>
  <c r="P43" i="825"/>
  <c r="K43" i="825"/>
  <c r="AU160" i="825" s="1"/>
  <c r="J43" i="825"/>
  <c r="I43" i="825"/>
  <c r="X42" i="825"/>
  <c r="V42" i="825"/>
  <c r="S42" i="825"/>
  <c r="P42" i="825"/>
  <c r="K42" i="825"/>
  <c r="AU159" i="825" s="1"/>
  <c r="J42" i="825"/>
  <c r="I42" i="825"/>
  <c r="X41" i="825"/>
  <c r="V41" i="825"/>
  <c r="S41" i="825"/>
  <c r="P41" i="825"/>
  <c r="K41" i="825"/>
  <c r="AU158" i="825" s="1"/>
  <c r="J41" i="825"/>
  <c r="I41" i="825"/>
  <c r="X40" i="825"/>
  <c r="V40" i="825"/>
  <c r="S40" i="825"/>
  <c r="P40" i="825"/>
  <c r="K40" i="825"/>
  <c r="AU157" i="825" s="1"/>
  <c r="J40" i="825"/>
  <c r="I40" i="825"/>
  <c r="X39" i="825"/>
  <c r="V39" i="825"/>
  <c r="S39" i="825"/>
  <c r="P39" i="825"/>
  <c r="K39" i="825"/>
  <c r="AU156" i="825" s="1"/>
  <c r="J39" i="825"/>
  <c r="I39" i="825"/>
  <c r="X38" i="825"/>
  <c r="V38" i="825"/>
  <c r="S38" i="825"/>
  <c r="P38" i="825"/>
  <c r="K38" i="825"/>
  <c r="AU155" i="825" s="1"/>
  <c r="J38" i="825"/>
  <c r="I38" i="825"/>
  <c r="X37" i="825"/>
  <c r="V37" i="825"/>
  <c r="S37" i="825"/>
  <c r="P37" i="825"/>
  <c r="K37" i="825"/>
  <c r="AU154" i="825" s="1"/>
  <c r="J37" i="825"/>
  <c r="I37" i="825"/>
  <c r="X36" i="825"/>
  <c r="V36" i="825"/>
  <c r="S36" i="825"/>
  <c r="P36" i="825"/>
  <c r="K36" i="825"/>
  <c r="AU153" i="825" s="1"/>
  <c r="J36" i="825"/>
  <c r="I36" i="825"/>
  <c r="X35" i="825"/>
  <c r="V35" i="825"/>
  <c r="S35" i="825"/>
  <c r="P35" i="825"/>
  <c r="K35" i="825"/>
  <c r="AU152" i="825" s="1"/>
  <c r="J35" i="825"/>
  <c r="I35" i="825"/>
  <c r="X34" i="825"/>
  <c r="V34" i="825"/>
  <c r="S34" i="825"/>
  <c r="P34" i="825"/>
  <c r="K34" i="825"/>
  <c r="AU151" i="825" s="1"/>
  <c r="J34" i="825"/>
  <c r="I34" i="825"/>
  <c r="X33" i="825"/>
  <c r="V33" i="825"/>
  <c r="S33" i="825"/>
  <c r="P33" i="825"/>
  <c r="K33" i="825"/>
  <c r="AU150" i="825" s="1"/>
  <c r="J33" i="825"/>
  <c r="I33" i="825"/>
  <c r="X32" i="825"/>
  <c r="V32" i="825"/>
  <c r="S32" i="825"/>
  <c r="P32" i="825"/>
  <c r="K32" i="825"/>
  <c r="AU149" i="825" s="1"/>
  <c r="J32" i="825"/>
  <c r="I32" i="825"/>
  <c r="X31" i="825"/>
  <c r="V31" i="825"/>
  <c r="S31" i="825"/>
  <c r="P31" i="825"/>
  <c r="K31" i="825"/>
  <c r="AU148" i="825" s="1"/>
  <c r="J31" i="825"/>
  <c r="I31" i="825"/>
  <c r="X30" i="825"/>
  <c r="V30" i="825"/>
  <c r="S30" i="825"/>
  <c r="P30" i="825"/>
  <c r="K30" i="825"/>
  <c r="AU147" i="825" s="1"/>
  <c r="J30" i="825"/>
  <c r="I30" i="825"/>
  <c r="X29" i="825"/>
  <c r="V29" i="825"/>
  <c r="S29" i="825"/>
  <c r="P29" i="825"/>
  <c r="K29" i="825"/>
  <c r="AU146" i="825" s="1"/>
  <c r="J29" i="825"/>
  <c r="I29" i="825"/>
  <c r="X28" i="825"/>
  <c r="V28" i="825"/>
  <c r="S28" i="825"/>
  <c r="P28" i="825"/>
  <c r="K28" i="825"/>
  <c r="AU145" i="825" s="1"/>
  <c r="J28" i="825"/>
  <c r="I28" i="825"/>
  <c r="X27" i="825"/>
  <c r="V27" i="825"/>
  <c r="S27" i="825"/>
  <c r="P27" i="825"/>
  <c r="K27" i="825"/>
  <c r="AU144" i="825" s="1"/>
  <c r="J27" i="825"/>
  <c r="I27" i="825"/>
  <c r="X26" i="825"/>
  <c r="V26" i="825"/>
  <c r="S26" i="825"/>
  <c r="P26" i="825"/>
  <c r="K26" i="825"/>
  <c r="AU143" i="825" s="1"/>
  <c r="J26" i="825"/>
  <c r="I26" i="825"/>
  <c r="X25" i="825"/>
  <c r="V25" i="825"/>
  <c r="S25" i="825"/>
  <c r="P25" i="825"/>
  <c r="K25" i="825"/>
  <c r="AU142" i="825" s="1"/>
  <c r="J25" i="825"/>
  <c r="I25" i="825"/>
  <c r="X24" i="825"/>
  <c r="V24" i="825"/>
  <c r="S24" i="825"/>
  <c r="P24" i="825"/>
  <c r="K24" i="825"/>
  <c r="AU141" i="825" s="1"/>
  <c r="J24" i="825"/>
  <c r="I24" i="825"/>
  <c r="X23" i="825"/>
  <c r="V23" i="825"/>
  <c r="S23" i="825"/>
  <c r="P23" i="825"/>
  <c r="K23" i="825"/>
  <c r="AU140" i="825" s="1"/>
  <c r="J23" i="825"/>
  <c r="I23" i="825"/>
  <c r="X22" i="825"/>
  <c r="V22" i="825"/>
  <c r="S22" i="825"/>
  <c r="P22" i="825"/>
  <c r="K22" i="825"/>
  <c r="AU139" i="825" s="1"/>
  <c r="J22" i="825"/>
  <c r="I22" i="825"/>
  <c r="X21" i="825"/>
  <c r="V21" i="825"/>
  <c r="S21" i="825"/>
  <c r="P21" i="825"/>
  <c r="K21" i="825"/>
  <c r="AU138" i="825" s="1"/>
  <c r="J21" i="825"/>
  <c r="I21" i="825"/>
  <c r="X20" i="825"/>
  <c r="V20" i="825"/>
  <c r="S20" i="825"/>
  <c r="P20" i="825"/>
  <c r="K20" i="825"/>
  <c r="AU137" i="825" s="1"/>
  <c r="J20" i="825"/>
  <c r="I20" i="825"/>
  <c r="F20" i="825"/>
  <c r="F21" i="825" s="1"/>
  <c r="D20" i="825"/>
  <c r="X19" i="825"/>
  <c r="V19" i="825"/>
  <c r="S19" i="825"/>
  <c r="P19" i="825"/>
  <c r="K19" i="825"/>
  <c r="AU136" i="825" s="1"/>
  <c r="J19" i="825"/>
  <c r="I19" i="825"/>
  <c r="X18" i="825"/>
  <c r="V18" i="825"/>
  <c r="S18" i="825"/>
  <c r="P18" i="825"/>
  <c r="K18" i="825"/>
  <c r="AU135" i="825" s="1"/>
  <c r="J18" i="825"/>
  <c r="I18" i="825"/>
  <c r="C18" i="825"/>
  <c r="X17" i="825"/>
  <c r="V17" i="825"/>
  <c r="S17" i="825"/>
  <c r="K17" i="825"/>
  <c r="AU134" i="825" s="1"/>
  <c r="J17" i="825"/>
  <c r="I17" i="825"/>
  <c r="X16" i="825"/>
  <c r="V16" i="825"/>
  <c r="S16" i="825"/>
  <c r="K16" i="825"/>
  <c r="AU133" i="825" s="1"/>
  <c r="J16" i="825"/>
  <c r="I16" i="825"/>
  <c r="X15" i="825"/>
  <c r="V15" i="825"/>
  <c r="S15" i="825"/>
  <c r="K15" i="825"/>
  <c r="AU132" i="825" s="1"/>
  <c r="J15" i="825"/>
  <c r="I15" i="825"/>
  <c r="X14" i="825"/>
  <c r="V14" i="825"/>
  <c r="S14" i="825"/>
  <c r="K14" i="825"/>
  <c r="AU131" i="825" s="1"/>
  <c r="J14" i="825"/>
  <c r="I14" i="825"/>
  <c r="X13" i="825"/>
  <c r="V13" i="825"/>
  <c r="S13" i="825"/>
  <c r="K13" i="825"/>
  <c r="AU130" i="825" s="1"/>
  <c r="J13" i="825"/>
  <c r="I13" i="825"/>
  <c r="D13" i="825"/>
  <c r="X12" i="825"/>
  <c r="V12" i="825"/>
  <c r="S12" i="825"/>
  <c r="K12" i="825"/>
  <c r="AU129" i="825" s="1"/>
  <c r="J12" i="825"/>
  <c r="I12" i="825"/>
  <c r="X11" i="825"/>
  <c r="V11" i="825"/>
  <c r="S11" i="825"/>
  <c r="K11" i="825"/>
  <c r="AU128" i="825" s="1"/>
  <c r="J11" i="825"/>
  <c r="I11" i="825"/>
  <c r="V10" i="825"/>
  <c r="I10" i="825"/>
  <c r="V9" i="825"/>
  <c r="I9" i="825"/>
  <c r="D9" i="825"/>
  <c r="J8" i="825"/>
  <c r="J9" i="825" s="1"/>
  <c r="J10" i="825" s="1"/>
  <c r="I8" i="825"/>
  <c r="E6" i="825"/>
  <c r="AH329" i="509"/>
  <c r="AH330" i="509"/>
  <c r="AH331" i="509"/>
  <c r="AH332" i="509"/>
  <c r="AH333" i="509"/>
  <c r="AH334" i="509"/>
  <c r="AH335" i="509"/>
  <c r="AH336" i="509"/>
  <c r="AH337" i="509"/>
  <c r="AH338" i="509"/>
  <c r="AH339" i="509"/>
  <c r="AH340" i="509"/>
  <c r="AH341" i="509"/>
  <c r="AH342" i="509"/>
  <c r="AH343" i="509"/>
  <c r="AH344" i="509"/>
  <c r="AH345" i="509"/>
  <c r="AH346" i="509"/>
  <c r="AH347" i="509"/>
  <c r="AH348" i="509"/>
  <c r="AH349" i="509"/>
  <c r="AH350" i="509"/>
  <c r="AH351" i="509"/>
  <c r="AH352" i="509"/>
  <c r="AH353" i="509"/>
  <c r="AH354" i="509"/>
  <c r="AH355" i="509"/>
  <c r="AH356" i="509"/>
  <c r="AH357" i="509"/>
  <c r="AH358" i="509"/>
  <c r="AH359" i="509"/>
  <c r="AH360" i="509"/>
  <c r="AH361" i="509"/>
  <c r="AH362" i="509"/>
  <c r="AH363" i="509"/>
  <c r="AH364" i="509"/>
  <c r="AH365" i="509"/>
  <c r="AH366" i="509"/>
  <c r="AH367" i="509"/>
  <c r="AH368" i="509"/>
  <c r="AH369" i="509"/>
  <c r="AH370" i="509"/>
  <c r="AH371" i="509"/>
  <c r="AH372" i="509"/>
  <c r="AH373" i="509"/>
  <c r="AH374" i="509"/>
  <c r="AH375" i="509"/>
  <c r="AH376" i="509"/>
  <c r="AH377" i="509"/>
  <c r="AH378" i="509"/>
  <c r="AH379" i="509"/>
  <c r="AH380" i="509"/>
  <c r="AH381" i="509"/>
  <c r="AH382" i="509"/>
  <c r="AH383" i="509"/>
  <c r="AH384" i="509"/>
  <c r="AH385" i="509"/>
  <c r="AH386" i="509"/>
  <c r="AH387" i="509"/>
  <c r="AH388" i="509"/>
  <c r="AH389" i="509"/>
  <c r="AH390" i="509"/>
  <c r="AH391" i="509"/>
  <c r="AH392" i="509"/>
  <c r="AH393" i="509"/>
  <c r="AH394" i="509"/>
  <c r="AH395" i="509"/>
  <c r="AH396" i="509"/>
  <c r="AH397" i="509"/>
  <c r="AH398" i="509"/>
  <c r="AH399" i="509"/>
  <c r="AH400" i="509"/>
  <c r="AH401" i="509"/>
  <c r="AH402" i="509"/>
  <c r="AH403" i="509"/>
  <c r="AH404" i="509"/>
  <c r="AH405" i="509"/>
  <c r="AH406" i="509"/>
  <c r="AH407" i="509"/>
  <c r="AH408" i="509"/>
  <c r="AH409" i="509"/>
  <c r="AH410" i="509"/>
  <c r="AH411" i="509"/>
  <c r="AH412" i="509"/>
  <c r="AH413" i="509"/>
  <c r="AH414" i="509"/>
  <c r="AH415" i="509"/>
  <c r="AH416" i="509"/>
  <c r="AH417" i="509"/>
  <c r="AH418" i="509"/>
  <c r="AH419" i="509"/>
  <c r="AH420" i="509"/>
  <c r="AH421" i="509"/>
  <c r="AH422" i="509"/>
  <c r="AH423" i="509"/>
  <c r="AH424" i="509"/>
  <c r="AH425" i="509"/>
  <c r="AH426" i="509"/>
  <c r="AH427" i="509"/>
  <c r="AH428" i="509"/>
  <c r="AH429" i="509"/>
  <c r="AH430" i="509"/>
  <c r="AH431" i="509"/>
  <c r="AH432" i="509"/>
  <c r="AH433" i="509"/>
  <c r="AH434" i="509"/>
  <c r="AH435" i="509"/>
  <c r="AH436" i="509"/>
  <c r="AH437" i="509"/>
  <c r="AH438" i="509"/>
  <c r="AH439" i="509"/>
  <c r="AH440" i="509"/>
  <c r="AH441" i="509"/>
  <c r="AH442" i="509"/>
  <c r="AH443" i="509"/>
  <c r="AH444" i="509"/>
  <c r="AH445" i="509"/>
  <c r="AH446" i="509"/>
  <c r="AH447" i="509"/>
  <c r="AH448" i="509"/>
  <c r="AH449" i="509"/>
  <c r="AH450" i="509"/>
  <c r="AH451" i="509"/>
  <c r="AH452" i="509"/>
  <c r="AH453" i="509"/>
  <c r="AH454" i="509"/>
  <c r="AH455" i="509"/>
  <c r="AH456" i="509"/>
  <c r="AH457" i="509"/>
  <c r="AH458" i="509"/>
  <c r="AH459" i="509"/>
  <c r="AH460" i="509"/>
  <c r="AH461" i="509"/>
  <c r="AH462" i="509"/>
  <c r="AH463" i="509"/>
  <c r="AH464" i="509"/>
  <c r="AH465" i="509"/>
  <c r="AH466" i="509"/>
  <c r="AH467" i="509"/>
  <c r="AH468" i="509"/>
  <c r="AH469" i="509"/>
  <c r="AH470" i="509"/>
  <c r="AH471" i="509"/>
  <c r="AH472" i="509"/>
  <c r="AH473" i="509"/>
  <c r="AH474" i="509"/>
  <c r="AH475" i="509"/>
  <c r="AH476" i="509"/>
  <c r="AH477" i="509"/>
  <c r="AH478" i="509"/>
  <c r="AH479" i="509"/>
  <c r="AH480" i="509"/>
  <c r="AH481" i="509"/>
  <c r="AH482" i="509"/>
  <c r="AH483" i="509"/>
  <c r="AH484" i="509"/>
  <c r="AH485" i="509"/>
  <c r="AH486" i="509"/>
  <c r="AH487" i="509"/>
  <c r="AH488" i="509"/>
  <c r="AH489" i="509"/>
  <c r="AH490" i="509"/>
  <c r="AH491" i="509"/>
  <c r="AH492" i="509"/>
  <c r="AH493" i="509"/>
  <c r="AH494" i="509"/>
  <c r="AH495" i="509"/>
  <c r="AH496" i="509"/>
  <c r="AH497" i="509"/>
  <c r="AH498" i="509"/>
  <c r="AH499" i="509"/>
  <c r="AH500" i="509"/>
  <c r="AH501" i="509"/>
  <c r="AH502" i="509"/>
  <c r="AH503" i="509"/>
  <c r="AH504" i="509"/>
  <c r="AH505" i="509"/>
  <c r="AH506" i="509"/>
  <c r="AH507" i="509"/>
  <c r="AH508" i="509"/>
  <c r="AH509" i="509"/>
  <c r="AH510" i="509"/>
  <c r="AH511" i="509"/>
  <c r="AH512" i="509"/>
  <c r="AH513" i="509"/>
  <c r="AH514" i="509"/>
  <c r="AH515" i="509"/>
  <c r="AH516" i="509"/>
  <c r="AH517" i="509"/>
  <c r="AH518" i="509"/>
  <c r="AH519" i="509"/>
  <c r="AH520" i="509"/>
  <c r="AH521" i="509"/>
  <c r="AH522" i="509"/>
  <c r="AH523" i="509"/>
  <c r="AH524" i="509"/>
  <c r="AH525" i="509"/>
  <c r="AH526" i="509"/>
  <c r="AH527" i="509"/>
  <c r="AH528" i="509"/>
  <c r="AH529" i="509"/>
  <c r="AH530" i="509"/>
  <c r="AH531" i="509"/>
  <c r="AH532" i="509"/>
  <c r="AH533" i="509"/>
  <c r="AH534" i="509"/>
  <c r="AH535" i="509"/>
  <c r="AH536" i="509"/>
  <c r="AH537" i="509"/>
  <c r="AH538" i="509"/>
  <c r="AH539" i="509"/>
  <c r="AH540" i="509"/>
  <c r="AH541" i="509"/>
  <c r="AH542" i="509"/>
  <c r="AH543" i="509"/>
  <c r="AH544" i="509"/>
  <c r="AH545" i="509"/>
  <c r="AH546" i="509"/>
  <c r="AH547" i="509"/>
  <c r="AH548" i="509"/>
  <c r="AH549" i="509"/>
  <c r="AH550" i="509"/>
  <c r="AH551" i="509"/>
  <c r="AH552" i="509"/>
  <c r="AH553" i="509"/>
  <c r="AH554" i="509"/>
  <c r="AH555" i="509"/>
  <c r="AH556" i="509"/>
  <c r="AH557" i="509"/>
  <c r="AH558" i="509"/>
  <c r="AH559" i="509"/>
  <c r="AH560" i="509"/>
  <c r="AH561" i="509"/>
  <c r="AH562" i="509"/>
  <c r="AH563" i="509"/>
  <c r="AH564" i="509"/>
  <c r="AH565" i="509"/>
  <c r="AH566" i="509"/>
  <c r="AH567" i="509"/>
  <c r="AH568" i="509"/>
  <c r="AH569" i="509"/>
  <c r="AH570" i="509"/>
  <c r="AH571" i="509"/>
  <c r="AH572" i="509"/>
  <c r="AH573" i="509"/>
  <c r="AH574" i="509"/>
  <c r="AH575" i="509"/>
  <c r="AH576" i="509"/>
  <c r="AH577" i="509"/>
  <c r="AH578" i="509"/>
  <c r="AH579" i="509"/>
  <c r="AH580" i="509"/>
  <c r="AH581" i="509"/>
  <c r="AH582" i="509"/>
  <c r="AH583" i="509"/>
  <c r="AH584" i="509"/>
  <c r="AH585" i="509"/>
  <c r="AH586" i="509"/>
  <c r="AH587" i="509"/>
  <c r="AH588" i="509"/>
  <c r="AH589" i="509"/>
  <c r="AH590" i="509"/>
  <c r="AH591" i="509"/>
  <c r="AH592" i="509"/>
  <c r="AH593" i="509"/>
  <c r="AH594" i="509"/>
  <c r="AH595" i="509"/>
  <c r="AH596" i="509"/>
  <c r="AH597" i="509"/>
  <c r="AH598" i="509"/>
  <c r="AH599" i="509"/>
  <c r="AH600" i="509"/>
  <c r="AH601" i="509"/>
  <c r="AH602" i="509"/>
  <c r="AH603" i="509"/>
  <c r="AH604" i="509"/>
  <c r="AH605" i="509"/>
  <c r="AH606" i="509"/>
  <c r="AH607" i="509"/>
  <c r="AH608" i="509"/>
  <c r="AH609" i="509"/>
  <c r="AH610" i="509"/>
  <c r="AH611" i="509"/>
  <c r="AH612" i="509"/>
  <c r="AH613" i="509"/>
  <c r="AH614" i="509"/>
  <c r="AH615" i="509"/>
  <c r="AH616" i="509"/>
  <c r="AH617" i="509"/>
  <c r="AH618" i="509"/>
  <c r="AH619" i="509"/>
  <c r="AH620" i="509"/>
  <c r="AH621" i="509"/>
  <c r="AH622" i="509"/>
  <c r="AH623" i="509"/>
  <c r="AH624" i="509"/>
  <c r="AH625" i="509"/>
  <c r="AH626" i="509"/>
  <c r="AH627" i="509"/>
  <c r="AH628" i="509"/>
  <c r="AH629" i="509"/>
  <c r="AH630" i="509"/>
  <c r="AH631" i="509"/>
  <c r="AH632" i="509"/>
  <c r="AH633" i="509"/>
  <c r="AH634" i="509"/>
  <c r="AH635" i="509"/>
  <c r="AH636" i="509"/>
  <c r="AH637" i="509"/>
  <c r="AH638" i="509"/>
  <c r="AH639" i="509"/>
  <c r="AH640" i="509"/>
  <c r="AH641" i="509"/>
  <c r="AH642" i="509"/>
  <c r="AH643" i="509"/>
  <c r="AH644" i="509"/>
  <c r="AH645" i="509"/>
  <c r="AH646" i="509"/>
  <c r="AH647" i="509"/>
  <c r="AH648" i="509"/>
  <c r="AH649" i="509"/>
  <c r="AH650" i="509"/>
  <c r="AH651" i="509"/>
  <c r="AH652" i="509"/>
  <c r="AH653" i="509"/>
  <c r="AH654" i="509"/>
  <c r="AH655" i="509"/>
  <c r="AH656" i="509"/>
  <c r="AH657" i="509"/>
  <c r="AH658" i="509"/>
  <c r="AH659" i="509"/>
  <c r="AH660" i="509"/>
  <c r="AH661" i="509"/>
  <c r="AH662" i="509"/>
  <c r="AH663" i="509"/>
  <c r="AH664" i="509"/>
  <c r="AH665" i="509"/>
  <c r="AH666" i="509"/>
  <c r="AH667" i="509"/>
  <c r="AH668" i="509"/>
  <c r="AH669" i="509"/>
  <c r="AH670" i="509"/>
  <c r="AH671" i="509"/>
  <c r="AH672" i="509"/>
  <c r="AH673" i="509"/>
  <c r="AH674" i="509"/>
  <c r="AH675" i="509"/>
  <c r="AH676" i="509"/>
  <c r="AH677" i="509"/>
  <c r="AH678" i="509"/>
  <c r="AH679" i="509"/>
  <c r="AH680" i="509"/>
  <c r="AH681" i="509"/>
  <c r="AH682" i="509"/>
  <c r="AH683" i="509"/>
  <c r="AH684" i="509"/>
  <c r="AH685" i="509"/>
  <c r="AH686" i="509"/>
  <c r="AH687" i="509"/>
  <c r="AH688" i="509"/>
  <c r="AH689" i="509"/>
  <c r="AH690" i="509"/>
  <c r="AH691" i="509"/>
  <c r="AH692" i="509"/>
  <c r="AH693" i="509"/>
  <c r="AH694" i="509"/>
  <c r="AH695" i="509"/>
  <c r="AH696" i="509"/>
  <c r="AH697" i="509"/>
  <c r="AH698" i="509"/>
  <c r="AH699" i="509"/>
  <c r="AH700" i="509"/>
  <c r="AH701" i="509"/>
  <c r="AH702" i="509"/>
  <c r="AH703" i="509"/>
  <c r="AH704" i="509"/>
  <c r="AH705" i="509"/>
  <c r="AH706" i="509"/>
  <c r="AH707" i="509"/>
  <c r="AH708" i="509"/>
  <c r="AH709" i="509"/>
  <c r="AH710" i="509"/>
  <c r="AH711" i="509"/>
  <c r="AH712" i="509"/>
  <c r="AH713" i="509"/>
  <c r="AH714" i="509"/>
  <c r="AH715" i="509"/>
  <c r="AH716" i="509"/>
  <c r="AH717" i="509"/>
  <c r="AH718" i="509"/>
  <c r="AH719" i="509"/>
  <c r="AH720" i="509"/>
  <c r="AH721" i="509"/>
  <c r="AH722" i="509"/>
  <c r="AH723" i="509"/>
  <c r="AH724" i="509"/>
  <c r="AH725" i="509"/>
  <c r="AH726" i="509"/>
  <c r="AH727" i="509"/>
  <c r="AH728" i="509"/>
  <c r="AH729" i="509"/>
  <c r="AH730" i="509"/>
  <c r="AH731" i="509"/>
  <c r="AH732" i="509"/>
  <c r="AH733" i="509"/>
  <c r="AH734" i="509"/>
  <c r="AH735" i="509"/>
  <c r="AH736" i="509"/>
  <c r="AH737" i="509"/>
  <c r="AH738" i="509"/>
  <c r="AH739" i="509"/>
  <c r="AH740" i="509"/>
  <c r="AH741" i="509"/>
  <c r="AH742" i="509"/>
  <c r="AH743" i="509"/>
  <c r="AH744" i="509"/>
  <c r="AH745" i="509"/>
  <c r="AH746" i="509"/>
  <c r="AH747" i="509"/>
  <c r="AH748" i="509"/>
  <c r="AH749" i="509"/>
  <c r="AH750" i="509"/>
  <c r="AH751" i="509"/>
  <c r="AH752" i="509"/>
  <c r="AH753" i="509"/>
  <c r="AH754" i="509"/>
  <c r="AH755" i="509"/>
  <c r="AH756" i="509"/>
  <c r="AH757" i="509"/>
  <c r="AH758" i="509"/>
  <c r="AH759" i="509"/>
  <c r="AH760" i="509"/>
  <c r="AH761" i="509"/>
  <c r="AH762" i="509"/>
  <c r="AH763" i="509"/>
  <c r="AH764" i="509"/>
  <c r="AH765" i="509"/>
  <c r="AH766" i="509"/>
  <c r="AH767" i="509"/>
  <c r="AH768" i="509"/>
  <c r="AH769" i="509"/>
  <c r="AH770" i="509"/>
  <c r="AH771" i="509"/>
  <c r="AH772" i="509"/>
  <c r="AH773" i="509"/>
  <c r="AH774" i="509"/>
  <c r="AH775" i="509"/>
  <c r="AH776" i="509"/>
  <c r="AH777" i="509"/>
  <c r="AH778" i="509"/>
  <c r="AH779" i="509"/>
  <c r="AH780" i="509"/>
  <c r="AH781" i="509"/>
  <c r="AH782" i="509"/>
  <c r="AH783" i="509"/>
  <c r="AH784" i="509"/>
  <c r="AH785" i="509"/>
  <c r="AH786" i="509"/>
  <c r="AH787" i="509"/>
  <c r="AH788" i="509"/>
  <c r="AH789" i="509"/>
  <c r="AH790" i="509"/>
  <c r="AH791" i="509"/>
  <c r="AH792" i="509"/>
  <c r="AH793" i="509"/>
  <c r="AH794" i="509"/>
  <c r="AH795" i="509"/>
  <c r="AH796" i="509"/>
  <c r="AH797" i="509"/>
  <c r="AH798" i="509"/>
  <c r="AH799" i="509"/>
  <c r="AH800" i="509"/>
  <c r="AH801" i="509"/>
  <c r="AH802" i="509"/>
  <c r="AH803" i="509"/>
  <c r="AH804" i="509"/>
  <c r="AH805" i="509"/>
  <c r="AH806" i="509"/>
  <c r="AH807" i="509"/>
  <c r="AH808" i="509"/>
  <c r="AH809" i="509"/>
  <c r="AH810" i="509"/>
  <c r="AH811" i="509"/>
  <c r="AH812" i="509"/>
  <c r="AH813" i="509"/>
  <c r="AH814" i="509"/>
  <c r="AH815" i="509"/>
  <c r="AH816" i="509"/>
  <c r="AH817" i="509"/>
  <c r="AH818" i="509"/>
  <c r="AH819" i="509"/>
  <c r="AH820" i="509"/>
  <c r="AH821" i="509"/>
  <c r="AH822" i="509"/>
  <c r="AH823" i="509"/>
  <c r="AH824" i="509"/>
  <c r="AH825" i="509"/>
  <c r="AH826" i="509"/>
  <c r="AH827" i="509"/>
  <c r="AH828" i="509"/>
  <c r="AH829" i="509"/>
  <c r="AH830" i="509"/>
  <c r="AH831" i="509"/>
  <c r="AH832" i="509"/>
  <c r="AH833" i="509"/>
  <c r="AH834" i="509"/>
  <c r="AH835" i="509"/>
  <c r="AH836" i="509"/>
  <c r="AH837" i="509"/>
  <c r="AH838" i="509"/>
  <c r="AH839" i="509"/>
  <c r="AH840" i="509"/>
  <c r="AH841" i="509"/>
  <c r="AH842" i="509"/>
  <c r="AH843" i="509"/>
  <c r="AH844" i="509"/>
  <c r="AH845" i="509"/>
  <c r="AH846" i="509"/>
  <c r="AH847" i="509"/>
  <c r="AH848" i="509"/>
  <c r="AH849" i="509"/>
  <c r="AH850" i="509"/>
  <c r="AH851" i="509"/>
  <c r="AH852" i="509"/>
  <c r="AH853" i="509"/>
  <c r="AH854" i="509"/>
  <c r="AH855" i="509"/>
  <c r="AH856" i="509"/>
  <c r="AH857" i="509"/>
  <c r="AH858" i="509"/>
  <c r="AH859" i="509"/>
  <c r="AH860" i="509"/>
  <c r="AH861" i="509"/>
  <c r="AH862" i="509"/>
  <c r="AH863" i="509"/>
  <c r="AH864" i="509"/>
  <c r="AH865" i="509"/>
  <c r="AH866" i="509"/>
  <c r="AH867" i="509"/>
  <c r="AH868" i="509"/>
  <c r="AH869" i="509"/>
  <c r="AH870" i="509"/>
  <c r="AH871" i="509"/>
  <c r="AH872" i="509"/>
  <c r="AH873" i="509"/>
  <c r="AH874" i="509"/>
  <c r="AH875" i="509"/>
  <c r="AH876" i="509"/>
  <c r="AH877" i="509"/>
  <c r="AH878" i="509"/>
  <c r="AH879" i="509"/>
  <c r="AH880" i="509"/>
  <c r="AH881" i="509"/>
  <c r="AH882" i="509"/>
  <c r="AH883" i="509"/>
  <c r="AH884" i="509"/>
  <c r="AH885" i="509"/>
  <c r="AH886" i="509"/>
  <c r="AH887" i="509"/>
  <c r="AH888" i="509"/>
  <c r="AH889" i="509"/>
  <c r="AH890" i="509"/>
  <c r="AH891" i="509"/>
  <c r="AH892" i="509"/>
  <c r="AH893" i="509"/>
  <c r="AH894" i="509"/>
  <c r="AH895" i="509"/>
  <c r="AH896" i="509"/>
  <c r="AH897" i="509"/>
  <c r="AH898" i="509"/>
  <c r="AH899" i="509"/>
  <c r="AH900" i="509"/>
  <c r="AH901" i="509"/>
  <c r="AH902" i="509"/>
  <c r="AH903" i="509"/>
  <c r="AH904" i="509"/>
  <c r="AH905" i="509"/>
  <c r="AH906" i="509"/>
  <c r="AH907" i="509"/>
  <c r="AH908" i="509"/>
  <c r="AH909" i="509"/>
  <c r="AH910" i="509"/>
  <c r="AH911" i="509"/>
  <c r="AH912" i="509"/>
  <c r="AH913" i="509"/>
  <c r="AH914" i="509"/>
  <c r="F22" i="823"/>
  <c r="E20" i="788"/>
  <c r="C146" i="823"/>
  <c r="N4" i="805"/>
  <c r="AE8" i="805" s="1"/>
  <c r="AH915" i="509"/>
  <c r="AH916" i="509"/>
  <c r="AH917" i="509"/>
  <c r="AH918" i="509"/>
  <c r="S5" i="823"/>
  <c r="F20" i="805"/>
  <c r="C7" i="823"/>
  <c r="C6" i="823"/>
  <c r="AE8" i="4"/>
  <c r="AE7" i="4"/>
  <c r="C18" i="805"/>
  <c r="H5" i="781"/>
  <c r="L12" i="823"/>
  <c r="AP10" i="805" l="1"/>
  <c r="AO10" i="805" s="1"/>
  <c r="AP11" i="805"/>
  <c r="AO11" i="805" s="1"/>
  <c r="AN21" i="805"/>
  <c r="AP22" i="805"/>
  <c r="AO22" i="805" s="1"/>
  <c r="AP23" i="805"/>
  <c r="AO23" i="805" s="1"/>
  <c r="AN26" i="805"/>
  <c r="AN27" i="805"/>
  <c r="AN30" i="805"/>
  <c r="AS33" i="805"/>
  <c r="AN36" i="805"/>
  <c r="AN40" i="805"/>
  <c r="AN51" i="805"/>
  <c r="AN52" i="805"/>
  <c r="AN55" i="805"/>
  <c r="AN66" i="805"/>
  <c r="AN69" i="805"/>
  <c r="AP73" i="805"/>
  <c r="AO73" i="805" s="1"/>
  <c r="AN75" i="805"/>
  <c r="AP46" i="805"/>
  <c r="AO46" i="805" s="1"/>
  <c r="AP47" i="805"/>
  <c r="AO47" i="805" s="1"/>
  <c r="AP48" i="805"/>
  <c r="AO48" i="805" s="1"/>
  <c r="AP49" i="805"/>
  <c r="AO49" i="805" s="1"/>
  <c r="AP50" i="805"/>
  <c r="AO50" i="805" s="1"/>
  <c r="AS54" i="805"/>
  <c r="AN62" i="805"/>
  <c r="AP64" i="805"/>
  <c r="AO64" i="805" s="1"/>
  <c r="AN72" i="805"/>
  <c r="AN73" i="805"/>
  <c r="AP82" i="805"/>
  <c r="AO82" i="805" s="1"/>
  <c r="AS82" i="805"/>
  <c r="AP83" i="805"/>
  <c r="AO83" i="805" s="1"/>
  <c r="AP84" i="805"/>
  <c r="AO84" i="805" s="1"/>
  <c r="AP85" i="805"/>
  <c r="AO85" i="805" s="1"/>
  <c r="AP86" i="805"/>
  <c r="AO86" i="805" s="1"/>
  <c r="AP87" i="805"/>
  <c r="AO87" i="805" s="1"/>
  <c r="AP57" i="805"/>
  <c r="AO57" i="805" s="1"/>
  <c r="AP58" i="805"/>
  <c r="AO58" i="805" s="1"/>
  <c r="AP62" i="805"/>
  <c r="AO62" i="805" s="1"/>
  <c r="AP65" i="805"/>
  <c r="AO65" i="805" s="1"/>
  <c r="AP68" i="805"/>
  <c r="AO68" i="805" s="1"/>
  <c r="AP71" i="805"/>
  <c r="AO71" i="805" s="1"/>
  <c r="AP74" i="805"/>
  <c r="AO74" i="805" s="1"/>
  <c r="AP79" i="805"/>
  <c r="AO79" i="805" s="1"/>
  <c r="AN82" i="805"/>
  <c r="AP19" i="805"/>
  <c r="AO19" i="805" s="1"/>
  <c r="AP29" i="805"/>
  <c r="AO29" i="805" s="1"/>
  <c r="AN31" i="805"/>
  <c r="AP37" i="805"/>
  <c r="AO37" i="805" s="1"/>
  <c r="AN41" i="805"/>
  <c r="AP42" i="805"/>
  <c r="AO42" i="805" s="1"/>
  <c r="AP54" i="805"/>
  <c r="AO54" i="805" s="1"/>
  <c r="AP70" i="805"/>
  <c r="AO70" i="805" s="1"/>
  <c r="AP76" i="805"/>
  <c r="AO76" i="805" s="1"/>
  <c r="AN17" i="805"/>
  <c r="AN23" i="805"/>
  <c r="AP26" i="805"/>
  <c r="AO26" i="805" s="1"/>
  <c r="AP31" i="805"/>
  <c r="AO31" i="805" s="1"/>
  <c r="AN35" i="805"/>
  <c r="AN42" i="805"/>
  <c r="AP44" i="805"/>
  <c r="AO44" i="805" s="1"/>
  <c r="AP52" i="805"/>
  <c r="AO52" i="805" s="1"/>
  <c r="AP53" i="805"/>
  <c r="AO53" i="805" s="1"/>
  <c r="AP56" i="805"/>
  <c r="AO56" i="805" s="1"/>
  <c r="AN60" i="805"/>
  <c r="AN61" i="805"/>
  <c r="AP66" i="805"/>
  <c r="AO66" i="805" s="1"/>
  <c r="AN70" i="805"/>
  <c r="AP78" i="805"/>
  <c r="AO78" i="805" s="1"/>
  <c r="AN81" i="805"/>
  <c r="AP17" i="805"/>
  <c r="AO17" i="805" s="1"/>
  <c r="AP18" i="805"/>
  <c r="AO18" i="805" s="1"/>
  <c r="AP20" i="805"/>
  <c r="AO20" i="805" s="1"/>
  <c r="AP28" i="805"/>
  <c r="AO28" i="805" s="1"/>
  <c r="AP38" i="805"/>
  <c r="AO38" i="805" s="1"/>
  <c r="AN45" i="805"/>
  <c r="AN53" i="805"/>
  <c r="AN59" i="805"/>
  <c r="AP60" i="805"/>
  <c r="AO60" i="805" s="1"/>
  <c r="AP75" i="805"/>
  <c r="AO75" i="805" s="1"/>
  <c r="AP80" i="805"/>
  <c r="AO80" i="805" s="1"/>
  <c r="AN13" i="805"/>
  <c r="AP15" i="805"/>
  <c r="AO15" i="805" s="1"/>
  <c r="AP16" i="805"/>
  <c r="AO16" i="805" s="1"/>
  <c r="AN20" i="805"/>
  <c r="AN25" i="805"/>
  <c r="AP27" i="805"/>
  <c r="AO27" i="805" s="1"/>
  <c r="AP30" i="805"/>
  <c r="AO30" i="805" s="1"/>
  <c r="AP33" i="805"/>
  <c r="AO33" i="805" s="1"/>
  <c r="AP34" i="805"/>
  <c r="AO34" i="805" s="1"/>
  <c r="AN38" i="805"/>
  <c r="AP39" i="805"/>
  <c r="AO39" i="805" s="1"/>
  <c r="AN54" i="805"/>
  <c r="AP59" i="805"/>
  <c r="AO59" i="805" s="1"/>
  <c r="AP61" i="805"/>
  <c r="AO61" i="805" s="1"/>
  <c r="AN63" i="805"/>
  <c r="AN67" i="805"/>
  <c r="AP69" i="805"/>
  <c r="AO69" i="805" s="1"/>
  <c r="AN78" i="805"/>
  <c r="AP14" i="805"/>
  <c r="AO14" i="805" s="1"/>
  <c r="AN16" i="805"/>
  <c r="AP25" i="805"/>
  <c r="AO25" i="805" s="1"/>
  <c r="AN37" i="805"/>
  <c r="AN44" i="805"/>
  <c r="AN65" i="805"/>
  <c r="AP72" i="805"/>
  <c r="AO72" i="805" s="1"/>
  <c r="AN79" i="805"/>
  <c r="AP81" i="805"/>
  <c r="AO81" i="805" s="1"/>
  <c r="AN12" i="805"/>
  <c r="AN14" i="805"/>
  <c r="AN24" i="805"/>
  <c r="AN32" i="805"/>
  <c r="AN34" i="805"/>
  <c r="AP40" i="805"/>
  <c r="AO40" i="805" s="1"/>
  <c r="AN43" i="805"/>
  <c r="AP51" i="805"/>
  <c r="AO51" i="805" s="1"/>
  <c r="AP55" i="805"/>
  <c r="AO55" i="805" s="1"/>
  <c r="AN77" i="805"/>
  <c r="AP9" i="805"/>
  <c r="AO9" i="805" s="1"/>
  <c r="AN11" i="805"/>
  <c r="AP21" i="805"/>
  <c r="AO21" i="805" s="1"/>
  <c r="AN22" i="805"/>
  <c r="AN33" i="805"/>
  <c r="AP36" i="805"/>
  <c r="AO36" i="805" s="1"/>
  <c r="AP41" i="805"/>
  <c r="AO41" i="805" s="1"/>
  <c r="AN58" i="805"/>
  <c r="AN64" i="805"/>
  <c r="AP12" i="805"/>
  <c r="AO12" i="805" s="1"/>
  <c r="AP13" i="805"/>
  <c r="AO13" i="805" s="1"/>
  <c r="AN15" i="805"/>
  <c r="AN18" i="805"/>
  <c r="AP24" i="805"/>
  <c r="AO24" i="805" s="1"/>
  <c r="AN28" i="805"/>
  <c r="AP32" i="805"/>
  <c r="AO32" i="805" s="1"/>
  <c r="AP35" i="805"/>
  <c r="AO35" i="805" s="1"/>
  <c r="AN39" i="805"/>
  <c r="AP43" i="805"/>
  <c r="AO43" i="805" s="1"/>
  <c r="AO45" i="805"/>
  <c r="AP63" i="805"/>
  <c r="AO63" i="805" s="1"/>
  <c r="AP67" i="805"/>
  <c r="AO67" i="805" s="1"/>
  <c r="AN68" i="805"/>
  <c r="AN74" i="805"/>
  <c r="AP77" i="805"/>
  <c r="AO77" i="805" s="1"/>
  <c r="AG8" i="805"/>
  <c r="Q8" i="824"/>
  <c r="AN56" i="825"/>
  <c r="AN9" i="825"/>
  <c r="AM9" i="825" s="1"/>
  <c r="AN10" i="825"/>
  <c r="AM10" i="825" s="1"/>
  <c r="AN11" i="825"/>
  <c r="AM11" i="825" s="1"/>
  <c r="AN15" i="825"/>
  <c r="AM15" i="825" s="1"/>
  <c r="AN25" i="825"/>
  <c r="AM25" i="825" s="1"/>
  <c r="AN27" i="825"/>
  <c r="AM27" i="825" s="1"/>
  <c r="AN30" i="825"/>
  <c r="AM30" i="825" s="1"/>
  <c r="AN31" i="825"/>
  <c r="AM31" i="825" s="1"/>
  <c r="AL36" i="825"/>
  <c r="AL53" i="825"/>
  <c r="AL55" i="825"/>
  <c r="AM56" i="825"/>
  <c r="AN70" i="825"/>
  <c r="AM70" i="825" s="1"/>
  <c r="AL71" i="825"/>
  <c r="AL73" i="825"/>
  <c r="AL79" i="825"/>
  <c r="AL80" i="825"/>
  <c r="AN85" i="825"/>
  <c r="AM85" i="825" s="1"/>
  <c r="AP56" i="825"/>
  <c r="AN57" i="825"/>
  <c r="AM57" i="825" s="1"/>
  <c r="AN58" i="825"/>
  <c r="AM58" i="825" s="1"/>
  <c r="AN59" i="825"/>
  <c r="AM59" i="825" s="1"/>
  <c r="AN60" i="825"/>
  <c r="AM60" i="825" s="1"/>
  <c r="AN61" i="825"/>
  <c r="AM61" i="825" s="1"/>
  <c r="AN62" i="825"/>
  <c r="AM62" i="825" s="1"/>
  <c r="AN63" i="825"/>
  <c r="AM63" i="825" s="1"/>
  <c r="AN64" i="825"/>
  <c r="AM64" i="825" s="1"/>
  <c r="AL65" i="825"/>
  <c r="AL68" i="825"/>
  <c r="AN75" i="825"/>
  <c r="AM75" i="825" s="1"/>
  <c r="AN76" i="825"/>
  <c r="AM76" i="825" s="1"/>
  <c r="AL77" i="825"/>
  <c r="AN80" i="825"/>
  <c r="AM80" i="825" s="1"/>
  <c r="AN13" i="825"/>
  <c r="AM13" i="825" s="1"/>
  <c r="AL14" i="825"/>
  <c r="AN26" i="825"/>
  <c r="AM26" i="825" s="1"/>
  <c r="AL27" i="825"/>
  <c r="AL28" i="825"/>
  <c r="AL33" i="825"/>
  <c r="AN39" i="825"/>
  <c r="AM39" i="825" s="1"/>
  <c r="AL41" i="825"/>
  <c r="AL42" i="825"/>
  <c r="AL45" i="825"/>
  <c r="AL46" i="825"/>
  <c r="AL47" i="825"/>
  <c r="AL48" i="825"/>
  <c r="AN48" i="825"/>
  <c r="AM48" i="825" s="1"/>
  <c r="AN50" i="825"/>
  <c r="AM50" i="825" s="1"/>
  <c r="AN51" i="825"/>
  <c r="AM51" i="825" s="1"/>
  <c r="AL54" i="825"/>
  <c r="AN68" i="825"/>
  <c r="AM68" i="825" s="1"/>
  <c r="AN72" i="825"/>
  <c r="AM72" i="825" s="1"/>
  <c r="AN84" i="825"/>
  <c r="AM84" i="825" s="1"/>
  <c r="AL87" i="825"/>
  <c r="AL31" i="825"/>
  <c r="AL34" i="825"/>
  <c r="AN36" i="825"/>
  <c r="AM36" i="825" s="1"/>
  <c r="AL38" i="825"/>
  <c r="AL51" i="825"/>
  <c r="AL56" i="825"/>
  <c r="AN71" i="825"/>
  <c r="AM71" i="825" s="1"/>
  <c r="AL86" i="825"/>
  <c r="AN17" i="825"/>
  <c r="AM17" i="825" s="1"/>
  <c r="AN18" i="825"/>
  <c r="AM18" i="825" s="1"/>
  <c r="AL23" i="825"/>
  <c r="AN24" i="825"/>
  <c r="AM24" i="825" s="1"/>
  <c r="AL29" i="825"/>
  <c r="AL32" i="825"/>
  <c r="AL37" i="825"/>
  <c r="AN42" i="825"/>
  <c r="AM42" i="825" s="1"/>
  <c r="AL43" i="825"/>
  <c r="AN45" i="825"/>
  <c r="AM45" i="825" s="1"/>
  <c r="AN53" i="825"/>
  <c r="AM53" i="825" s="1"/>
  <c r="AN55" i="825"/>
  <c r="AM55" i="825" s="1"/>
  <c r="AL66" i="825"/>
  <c r="AN73" i="825"/>
  <c r="AM73" i="825" s="1"/>
  <c r="AN20" i="825"/>
  <c r="AM20" i="825" s="1"/>
  <c r="AL22" i="825"/>
  <c r="AL26" i="825"/>
  <c r="AN29" i="825"/>
  <c r="AM29" i="825" s="1"/>
  <c r="AL39" i="825"/>
  <c r="AL52" i="825"/>
  <c r="AN54" i="825"/>
  <c r="AM54" i="825" s="1"/>
  <c r="AN67" i="825"/>
  <c r="AM67" i="825" s="1"/>
  <c r="AN69" i="825"/>
  <c r="AM69" i="825" s="1"/>
  <c r="AL74" i="825"/>
  <c r="AN74" i="825"/>
  <c r="AM74" i="825" s="1"/>
  <c r="AL75" i="825"/>
  <c r="AL82" i="825"/>
  <c r="AL84" i="825"/>
  <c r="AL17" i="825"/>
  <c r="AL25" i="825"/>
  <c r="AN33" i="825"/>
  <c r="AM33" i="825" s="1"/>
  <c r="AN35" i="825"/>
  <c r="AM35" i="825" s="1"/>
  <c r="AN44" i="825"/>
  <c r="AM44" i="825" s="1"/>
  <c r="AN78" i="825"/>
  <c r="AM78" i="825" s="1"/>
  <c r="AN82" i="825"/>
  <c r="AM82" i="825" s="1"/>
  <c r="AN83" i="825"/>
  <c r="AM83" i="825" s="1"/>
  <c r="AN14" i="825"/>
  <c r="AM14" i="825" s="1"/>
  <c r="AL18" i="825"/>
  <c r="AN19" i="825"/>
  <c r="AM19" i="825" s="1"/>
  <c r="AL20" i="825"/>
  <c r="AN22" i="825"/>
  <c r="AM22" i="825" s="1"/>
  <c r="AN37" i="825"/>
  <c r="AM37" i="825" s="1"/>
  <c r="AN38" i="825"/>
  <c r="AM38" i="825" s="1"/>
  <c r="AN40" i="825"/>
  <c r="AM40" i="825" s="1"/>
  <c r="AN41" i="825"/>
  <c r="AM41" i="825" s="1"/>
  <c r="AN43" i="825"/>
  <c r="AM43" i="825" s="1"/>
  <c r="AN47" i="825"/>
  <c r="AM47" i="825" s="1"/>
  <c r="AL50" i="825"/>
  <c r="AL69" i="825"/>
  <c r="AL76" i="825"/>
  <c r="AN79" i="825"/>
  <c r="AM79" i="825" s="1"/>
  <c r="AN81" i="825"/>
  <c r="AM81" i="825" s="1"/>
  <c r="AN86" i="825"/>
  <c r="AM86" i="825" s="1"/>
  <c r="AN28" i="825"/>
  <c r="AM28" i="825" s="1"/>
  <c r="AL30" i="825"/>
  <c r="AN32" i="825"/>
  <c r="AM32" i="825" s="1"/>
  <c r="AL44" i="825"/>
  <c r="AN46" i="825"/>
  <c r="AM46" i="825" s="1"/>
  <c r="AL49" i="825"/>
  <c r="AN65" i="825"/>
  <c r="AM65" i="825" s="1"/>
  <c r="AN66" i="825"/>
  <c r="AM66" i="825" s="1"/>
  <c r="AL81" i="825"/>
  <c r="AN12" i="825"/>
  <c r="AM12" i="825" s="1"/>
  <c r="AL16" i="825"/>
  <c r="AN16" i="825"/>
  <c r="AM16" i="825" s="1"/>
  <c r="AN21" i="825"/>
  <c r="AM21" i="825" s="1"/>
  <c r="AN23" i="825"/>
  <c r="AM23" i="825" s="1"/>
  <c r="AL24" i="825"/>
  <c r="AN34" i="825"/>
  <c r="AM34" i="825" s="1"/>
  <c r="AL35" i="825"/>
  <c r="AN49" i="825"/>
  <c r="AM49" i="825" s="1"/>
  <c r="AN52" i="825"/>
  <c r="AM52" i="825" s="1"/>
  <c r="AL67" i="825"/>
  <c r="AL70" i="825"/>
  <c r="AN77" i="825"/>
  <c r="AM77" i="825" s="1"/>
  <c r="AN87" i="825"/>
  <c r="AM87" i="825" s="1"/>
  <c r="AE8" i="825"/>
  <c r="AI8" i="825"/>
  <c r="F10" i="825"/>
  <c r="AG62" i="824"/>
  <c r="AA8" i="824"/>
  <c r="AG9" i="824"/>
  <c r="AF9" i="824" s="1"/>
  <c r="AG14" i="824"/>
  <c r="AF14" i="824" s="1"/>
  <c r="AG17" i="824"/>
  <c r="AF17" i="824" s="1"/>
  <c r="AG18" i="824"/>
  <c r="AF18" i="824" s="1"/>
  <c r="AG20" i="824"/>
  <c r="AF20" i="824" s="1"/>
  <c r="AG38" i="824"/>
  <c r="AF38" i="824" s="1"/>
  <c r="AG41" i="824"/>
  <c r="AF41" i="824" s="1"/>
  <c r="AE45" i="824"/>
  <c r="AG51" i="824"/>
  <c r="AF51" i="824" s="1"/>
  <c r="AG56" i="824"/>
  <c r="AF56" i="824" s="1"/>
  <c r="AE73" i="824"/>
  <c r="AE75" i="824"/>
  <c r="AE77" i="824"/>
  <c r="AE83" i="824"/>
  <c r="AE85" i="824"/>
  <c r="AG85" i="824"/>
  <c r="AF85" i="824" s="1"/>
  <c r="AG86" i="824"/>
  <c r="AF86" i="824" s="1"/>
  <c r="AE87" i="824"/>
  <c r="AI62" i="824"/>
  <c r="AE63" i="824"/>
  <c r="AG63" i="824"/>
  <c r="AF63" i="824" s="1"/>
  <c r="AE64" i="824"/>
  <c r="AG64" i="824"/>
  <c r="AF64" i="824" s="1"/>
  <c r="AE65" i="824"/>
  <c r="AG65" i="824"/>
  <c r="AF65" i="824" s="1"/>
  <c r="AE66" i="824"/>
  <c r="AG66" i="824"/>
  <c r="AF66" i="824" s="1"/>
  <c r="AE67" i="824"/>
  <c r="AG67" i="824"/>
  <c r="AF67" i="824" s="1"/>
  <c r="AE68" i="824"/>
  <c r="AG68" i="824"/>
  <c r="AF68" i="824" s="1"/>
  <c r="AE69" i="824"/>
  <c r="AG69" i="824"/>
  <c r="AF69" i="824" s="1"/>
  <c r="AE71" i="824"/>
  <c r="AE74" i="824"/>
  <c r="AE76" i="824"/>
  <c r="AE82" i="824"/>
  <c r="AG87" i="824"/>
  <c r="AF87" i="824" s="1"/>
  <c r="AG11" i="824"/>
  <c r="AF11" i="824" s="1"/>
  <c r="AE18" i="824"/>
  <c r="AE26" i="824"/>
  <c r="AG30" i="824"/>
  <c r="AF30" i="824" s="1"/>
  <c r="AE33" i="824"/>
  <c r="AG39" i="824"/>
  <c r="AF39" i="824" s="1"/>
  <c r="AG44" i="824"/>
  <c r="AF44" i="824" s="1"/>
  <c r="AG48" i="824"/>
  <c r="AF48" i="824" s="1"/>
  <c r="AG53" i="824"/>
  <c r="AF53" i="824" s="1"/>
  <c r="AG55" i="824"/>
  <c r="AF55" i="824" s="1"/>
  <c r="AE57" i="824"/>
  <c r="AE70" i="824"/>
  <c r="AG74" i="824"/>
  <c r="AF74" i="824" s="1"/>
  <c r="AG77" i="824"/>
  <c r="AF77" i="824" s="1"/>
  <c r="AE80" i="824"/>
  <c r="AE81" i="824"/>
  <c r="AE84" i="824"/>
  <c r="AE10" i="824"/>
  <c r="AG15" i="824"/>
  <c r="AF15" i="824" s="1"/>
  <c r="AE17" i="824"/>
  <c r="AG23" i="824"/>
  <c r="AF23" i="824" s="1"/>
  <c r="AG26" i="824"/>
  <c r="AF26" i="824" s="1"/>
  <c r="AE27" i="824"/>
  <c r="AE29" i="824"/>
  <c r="AE34" i="824"/>
  <c r="AE38" i="824"/>
  <c r="AE39" i="824"/>
  <c r="AE43" i="824"/>
  <c r="AE46" i="824"/>
  <c r="AE47" i="824"/>
  <c r="AE56" i="824"/>
  <c r="AG72" i="824"/>
  <c r="AF72" i="824" s="1"/>
  <c r="AG73" i="824"/>
  <c r="AF73" i="824" s="1"/>
  <c r="AG81" i="824"/>
  <c r="AF81" i="824" s="1"/>
  <c r="AG83" i="824"/>
  <c r="AF83" i="824" s="1"/>
  <c r="AI9" i="824"/>
  <c r="AG19" i="824"/>
  <c r="AF19" i="824" s="1"/>
  <c r="AE21" i="824"/>
  <c r="AG24" i="824"/>
  <c r="AF24" i="824" s="1"/>
  <c r="AG27" i="824"/>
  <c r="AF27" i="824" s="1"/>
  <c r="AG29" i="824"/>
  <c r="AF29" i="824" s="1"/>
  <c r="AG33" i="824"/>
  <c r="AF33" i="824" s="1"/>
  <c r="AG34" i="824"/>
  <c r="AF34" i="824" s="1"/>
  <c r="AE35" i="824"/>
  <c r="AE36" i="824"/>
  <c r="AE40" i="824"/>
  <c r="AE60" i="824"/>
  <c r="AG75" i="824"/>
  <c r="AF75" i="824" s="1"/>
  <c r="AE78" i="824"/>
  <c r="AE79" i="824"/>
  <c r="AE15" i="824"/>
  <c r="AE20" i="824"/>
  <c r="AG21" i="824"/>
  <c r="AF21" i="824" s="1"/>
  <c r="AE22" i="824"/>
  <c r="AG28" i="824"/>
  <c r="AF28" i="824" s="1"/>
  <c r="AG40" i="824"/>
  <c r="AF40" i="824" s="1"/>
  <c r="AE9" i="824"/>
  <c r="AE14" i="824"/>
  <c r="AE28" i="824"/>
  <c r="AG35" i="824"/>
  <c r="AF35" i="824" s="1"/>
  <c r="AG43" i="824"/>
  <c r="AF43" i="824" s="1"/>
  <c r="AE44" i="824"/>
  <c r="AG46" i="824"/>
  <c r="AF46" i="824" s="1"/>
  <c r="AG47" i="824"/>
  <c r="AF47" i="824" s="1"/>
  <c r="AE49" i="824"/>
  <c r="AE50" i="824"/>
  <c r="AG52" i="824"/>
  <c r="AF52" i="824" s="1"/>
  <c r="AG57" i="824"/>
  <c r="AF57" i="824" s="1"/>
  <c r="AG84" i="824"/>
  <c r="AF84" i="824" s="1"/>
  <c r="AE86" i="824"/>
  <c r="AE32" i="824"/>
  <c r="AG36" i="824"/>
  <c r="AF36" i="824" s="1"/>
  <c r="AE41" i="824"/>
  <c r="AG42" i="824"/>
  <c r="AF42" i="824" s="1"/>
  <c r="AE52" i="824"/>
  <c r="AE59" i="824"/>
  <c r="AE62" i="824"/>
  <c r="AG80" i="824"/>
  <c r="AF80" i="824" s="1"/>
  <c r="AG10" i="824"/>
  <c r="AF10" i="824" s="1"/>
  <c r="AE24" i="824"/>
  <c r="AG25" i="824"/>
  <c r="AF25" i="824" s="1"/>
  <c r="AE30" i="824"/>
  <c r="AG37" i="824"/>
  <c r="AF37" i="824" s="1"/>
  <c r="AE54" i="824"/>
  <c r="AE11" i="824"/>
  <c r="AE12" i="824"/>
  <c r="AG12" i="824"/>
  <c r="AF12" i="824" s="1"/>
  <c r="AE13" i="824"/>
  <c r="AG13" i="824"/>
  <c r="AF13" i="824" s="1"/>
  <c r="AE16" i="824"/>
  <c r="AG22" i="824"/>
  <c r="AF22" i="824" s="1"/>
  <c r="AE23" i="824"/>
  <c r="AG31" i="824"/>
  <c r="AF31" i="824" s="1"/>
  <c r="AI37" i="824"/>
  <c r="AE48" i="824"/>
  <c r="AG50" i="824"/>
  <c r="AF50" i="824" s="1"/>
  <c r="AE51" i="824"/>
  <c r="AI53" i="824"/>
  <c r="AG54" i="824"/>
  <c r="AF54" i="824" s="1"/>
  <c r="AE55" i="824"/>
  <c r="AE58" i="824"/>
  <c r="AE61" i="824"/>
  <c r="AF62" i="824"/>
  <c r="AG70" i="824"/>
  <c r="AF70" i="824" s="1"/>
  <c r="AG71" i="824"/>
  <c r="AF71" i="824" s="1"/>
  <c r="AG76" i="824"/>
  <c r="AF76" i="824" s="1"/>
  <c r="AG79" i="824"/>
  <c r="AF79" i="824" s="1"/>
  <c r="AG82" i="824"/>
  <c r="AF82" i="824" s="1"/>
  <c r="AG16" i="824"/>
  <c r="AF16" i="824" s="1"/>
  <c r="AE31" i="824"/>
  <c r="AG32" i="824"/>
  <c r="AF32" i="824" s="1"/>
  <c r="AG45" i="824"/>
  <c r="AF45" i="824" s="1"/>
  <c r="AG49" i="824"/>
  <c r="AF49" i="824" s="1"/>
  <c r="AG58" i="824"/>
  <c r="AF58" i="824" s="1"/>
  <c r="AG59" i="824"/>
  <c r="AF59" i="824" s="1"/>
  <c r="AG60" i="824"/>
  <c r="AF60" i="824" s="1"/>
  <c r="AG61" i="824"/>
  <c r="AF61" i="824" s="1"/>
  <c r="AE72" i="824"/>
  <c r="AG78" i="824"/>
  <c r="AF78" i="824" s="1"/>
  <c r="AG8" i="824"/>
  <c r="Y8" i="824"/>
  <c r="AN8" i="80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K4" i="834"/>
  <c r="F11" i="834"/>
  <c r="F12" i="834"/>
  <c r="F17" i="834"/>
  <c r="F21" i="834"/>
  <c r="F10" i="834"/>
  <c r="F20" i="834"/>
  <c r="F14" i="834"/>
  <c r="F13" i="834"/>
  <c r="F18" i="834"/>
  <c r="F19" i="834"/>
  <c r="F15" i="834"/>
  <c r="F16" i="834"/>
  <c r="AF4" i="825"/>
  <c r="E9" i="825"/>
  <c r="AC8" i="825"/>
  <c r="C17" i="825"/>
  <c r="D17" i="825"/>
  <c r="BH151" i="825"/>
  <c r="BG151" i="825"/>
  <c r="BZ204" i="825"/>
  <c r="BY204" i="825"/>
  <c r="BU204" i="825"/>
  <c r="BW204" i="825"/>
  <c r="BH204" i="825"/>
  <c r="BE204" i="825"/>
  <c r="BG204" i="825"/>
  <c r="BC204" i="825"/>
  <c r="BZ203" i="825"/>
  <c r="BY203" i="825"/>
  <c r="BU203" i="825"/>
  <c r="BW203" i="825"/>
  <c r="BG203" i="825"/>
  <c r="BE203" i="825"/>
  <c r="BC203" i="825"/>
  <c r="BH203" i="825"/>
  <c r="BZ202" i="825"/>
  <c r="BY202" i="825"/>
  <c r="BW202" i="825"/>
  <c r="BU202" i="825"/>
  <c r="BH202" i="825"/>
  <c r="BG202" i="825"/>
  <c r="BC202" i="825"/>
  <c r="BE202" i="825"/>
  <c r="BW201" i="825"/>
  <c r="BY201" i="825"/>
  <c r="BU201" i="825"/>
  <c r="BZ201" i="825"/>
  <c r="BE201" i="825"/>
  <c r="BH201" i="825"/>
  <c r="BG201" i="825"/>
  <c r="BC201" i="825"/>
  <c r="BZ200" i="825"/>
  <c r="BU200" i="825"/>
  <c r="BW200" i="825"/>
  <c r="BY200" i="825"/>
  <c r="BC200" i="825"/>
  <c r="BE200" i="825"/>
  <c r="BG200" i="825"/>
  <c r="BH200" i="825"/>
  <c r="BY199" i="825"/>
  <c r="BZ199" i="825"/>
  <c r="BW199" i="825"/>
  <c r="BU199" i="825"/>
  <c r="BH199" i="825"/>
  <c r="BG199" i="825"/>
  <c r="BE199" i="825"/>
  <c r="BC199" i="825"/>
  <c r="BY198" i="825"/>
  <c r="BU198" i="825"/>
  <c r="BW198" i="825"/>
  <c r="BZ198" i="825"/>
  <c r="BG198" i="825"/>
  <c r="BE198" i="825"/>
  <c r="BC198" i="825"/>
  <c r="BH198" i="825"/>
  <c r="BW197" i="825"/>
  <c r="BU197" i="825"/>
  <c r="BZ197" i="825"/>
  <c r="BY197" i="825"/>
  <c r="BC197" i="825"/>
  <c r="BG197" i="825"/>
  <c r="BH197" i="825"/>
  <c r="BE197" i="825"/>
  <c r="BW196" i="825"/>
  <c r="BU196" i="825"/>
  <c r="BY196" i="825"/>
  <c r="BZ196" i="825"/>
  <c r="BE196" i="825"/>
  <c r="BG196" i="825"/>
  <c r="BC196" i="825"/>
  <c r="BH196" i="825"/>
  <c r="BY195" i="825"/>
  <c r="BZ195" i="825"/>
  <c r="BW195" i="825"/>
  <c r="BU195" i="825"/>
  <c r="BG195" i="825"/>
  <c r="BC195" i="825"/>
  <c r="BE195" i="825"/>
  <c r="BH195" i="825"/>
  <c r="BU194" i="825"/>
  <c r="BZ194" i="825"/>
  <c r="BY194" i="825"/>
  <c r="BW194" i="825"/>
  <c r="BG194" i="825"/>
  <c r="BC194" i="825"/>
  <c r="BH194" i="825"/>
  <c r="BE194" i="825"/>
  <c r="BZ193" i="825"/>
  <c r="BY193" i="825"/>
  <c r="BU193" i="825"/>
  <c r="BW193" i="825"/>
  <c r="BE193" i="825"/>
  <c r="BC193" i="825"/>
  <c r="BG193" i="825"/>
  <c r="BH193" i="825"/>
  <c r="BZ192" i="825"/>
  <c r="BY192" i="825"/>
  <c r="BW192" i="825"/>
  <c r="BU192" i="825"/>
  <c r="BH192" i="825"/>
  <c r="BG192" i="825"/>
  <c r="BE192" i="825"/>
  <c r="BC192" i="825"/>
  <c r="BU191" i="825"/>
  <c r="BY191" i="825"/>
  <c r="BZ191" i="825"/>
  <c r="BW191" i="825"/>
  <c r="BC191" i="825"/>
  <c r="BG191" i="825"/>
  <c r="BE191" i="825"/>
  <c r="BH191" i="825"/>
  <c r="BZ190" i="825"/>
  <c r="BY190" i="825"/>
  <c r="BU190" i="825"/>
  <c r="BW190" i="825"/>
  <c r="BH190" i="825"/>
  <c r="BC190" i="825"/>
  <c r="BG190" i="825"/>
  <c r="BE190" i="825"/>
  <c r="BW189" i="825"/>
  <c r="BU189" i="825"/>
  <c r="BY189" i="825"/>
  <c r="BZ189" i="825"/>
  <c r="BG189" i="825"/>
  <c r="BE189" i="825"/>
  <c r="BC189" i="825"/>
  <c r="BH189" i="825"/>
  <c r="BW188" i="825"/>
  <c r="BU188" i="825"/>
  <c r="BY188" i="825"/>
  <c r="BZ188" i="825"/>
  <c r="BH188" i="825"/>
  <c r="BC188" i="825"/>
  <c r="BE188" i="825"/>
  <c r="BG188" i="825"/>
  <c r="BY187" i="825"/>
  <c r="BW187" i="825"/>
  <c r="BU187" i="825"/>
  <c r="BZ187" i="825"/>
  <c r="BG187" i="825"/>
  <c r="BE187" i="825"/>
  <c r="BC187" i="825"/>
  <c r="BH187" i="825"/>
  <c r="BZ186" i="825"/>
  <c r="BY186" i="825"/>
  <c r="BW186" i="825"/>
  <c r="BU186" i="825"/>
  <c r="BH186" i="825"/>
  <c r="BG186" i="825"/>
  <c r="BC186" i="825"/>
  <c r="BE186" i="825"/>
  <c r="BW185" i="825"/>
  <c r="BZ185" i="825"/>
  <c r="BY185" i="825"/>
  <c r="BU185" i="825"/>
  <c r="BG185" i="825"/>
  <c r="BE185" i="825"/>
  <c r="BC185" i="825"/>
  <c r="BH185" i="825"/>
  <c r="BZ184" i="825"/>
  <c r="BU184" i="825"/>
  <c r="BW184" i="825"/>
  <c r="BY184" i="825"/>
  <c r="BC184" i="825"/>
  <c r="BH184" i="825"/>
  <c r="BG184" i="825"/>
  <c r="BE184" i="825"/>
  <c r="BY183" i="825"/>
  <c r="BU183" i="825"/>
  <c r="BZ183" i="825"/>
  <c r="BW183" i="825"/>
  <c r="BG183" i="825"/>
  <c r="BC183" i="825"/>
  <c r="BE183" i="825"/>
  <c r="BH183" i="825"/>
  <c r="BY182" i="825"/>
  <c r="BU182" i="825"/>
  <c r="BZ182" i="825"/>
  <c r="BW182" i="825"/>
  <c r="BE182" i="825"/>
  <c r="BG182" i="825"/>
  <c r="BH182" i="825"/>
  <c r="BC182" i="825"/>
  <c r="BU181" i="825"/>
  <c r="BY181" i="825"/>
  <c r="BZ181" i="825"/>
  <c r="BW181" i="825"/>
  <c r="BH181" i="825"/>
  <c r="BE181" i="825"/>
  <c r="BG181" i="825"/>
  <c r="BC181" i="825"/>
  <c r="BZ180" i="825"/>
  <c r="BY180" i="825"/>
  <c r="BU180" i="825"/>
  <c r="BW180" i="825"/>
  <c r="BE180" i="825"/>
  <c r="BC180" i="825"/>
  <c r="BG180" i="825"/>
  <c r="BH180" i="825"/>
  <c r="BW179" i="825"/>
  <c r="BY179" i="825"/>
  <c r="BZ179" i="825"/>
  <c r="BU179" i="825"/>
  <c r="BC179" i="825"/>
  <c r="BH179" i="825"/>
  <c r="BE179" i="825"/>
  <c r="BG179" i="825"/>
  <c r="BW178" i="825"/>
  <c r="BU178" i="825"/>
  <c r="BZ178" i="825"/>
  <c r="BY178" i="825"/>
  <c r="BE178" i="825"/>
  <c r="BH178" i="825"/>
  <c r="BG178" i="825"/>
  <c r="BC178" i="825"/>
  <c r="BU177" i="825"/>
  <c r="BW177" i="825"/>
  <c r="BY177" i="825"/>
  <c r="BZ177" i="825"/>
  <c r="BG177" i="825"/>
  <c r="BC177" i="825"/>
  <c r="BH177" i="825"/>
  <c r="BE177" i="825"/>
  <c r="BU176" i="825"/>
  <c r="BW176" i="825"/>
  <c r="BY176" i="825"/>
  <c r="BZ176" i="825"/>
  <c r="BC176" i="825"/>
  <c r="BE176" i="825"/>
  <c r="BH176" i="825"/>
  <c r="BG176" i="825"/>
  <c r="BW175" i="825"/>
  <c r="BY175" i="825"/>
  <c r="BZ175" i="825"/>
  <c r="BU175" i="825"/>
  <c r="BC175" i="825"/>
  <c r="BE175" i="825"/>
  <c r="BG175" i="825"/>
  <c r="BH175" i="825"/>
  <c r="BU174" i="825"/>
  <c r="BW174" i="825"/>
  <c r="BY174" i="825"/>
  <c r="BZ174" i="825"/>
  <c r="BC174" i="825"/>
  <c r="BE174" i="825"/>
  <c r="BG174" i="825"/>
  <c r="BH174" i="825"/>
  <c r="BU173" i="825"/>
  <c r="BZ173" i="825"/>
  <c r="BY173" i="825"/>
  <c r="BW173" i="825"/>
  <c r="BH173" i="825"/>
  <c r="BG173" i="825"/>
  <c r="BE173" i="825"/>
  <c r="BC173" i="825"/>
  <c r="BW172" i="825"/>
  <c r="BU172" i="825"/>
  <c r="BY172" i="825"/>
  <c r="BZ172" i="825"/>
  <c r="BH172" i="825"/>
  <c r="BG172" i="825"/>
  <c r="BE172" i="825"/>
  <c r="BC172" i="825"/>
  <c r="BZ171" i="825"/>
  <c r="BY171" i="825"/>
  <c r="BW171" i="825"/>
  <c r="BU171" i="825"/>
  <c r="BE171" i="825"/>
  <c r="BG171" i="825"/>
  <c r="BH171" i="825"/>
  <c r="BC171" i="825"/>
  <c r="BZ170" i="825"/>
  <c r="BY170" i="825"/>
  <c r="BW170" i="825"/>
  <c r="BU170" i="825"/>
  <c r="BC170" i="825"/>
  <c r="BG170" i="825"/>
  <c r="BE170" i="825"/>
  <c r="BH170" i="825"/>
  <c r="BY169" i="825"/>
  <c r="BZ169" i="825"/>
  <c r="BW169" i="825"/>
  <c r="BU169" i="825"/>
  <c r="BH169" i="825"/>
  <c r="BG169" i="825"/>
  <c r="BE169" i="825"/>
  <c r="BC169" i="825"/>
  <c r="BZ168" i="825"/>
  <c r="BY168" i="825"/>
  <c r="BW168" i="825"/>
  <c r="BU168" i="825"/>
  <c r="BG168" i="825"/>
  <c r="BE168" i="825"/>
  <c r="BC168" i="825"/>
  <c r="BH168" i="825"/>
  <c r="BZ167" i="825"/>
  <c r="BY167" i="825"/>
  <c r="BW167" i="825"/>
  <c r="BU167" i="825"/>
  <c r="BC167" i="825"/>
  <c r="BE167" i="825"/>
  <c r="BG167" i="825"/>
  <c r="BH167" i="825"/>
  <c r="BZ166" i="825"/>
  <c r="BU166" i="825"/>
  <c r="BW166" i="825"/>
  <c r="BY166" i="825"/>
  <c r="BE166" i="825"/>
  <c r="BH166" i="825"/>
  <c r="BG166" i="825"/>
  <c r="BC166" i="825"/>
  <c r="BY165" i="825"/>
  <c r="BZ165" i="825"/>
  <c r="BW165" i="825"/>
  <c r="BU165" i="825"/>
  <c r="BH165" i="825"/>
  <c r="BG165" i="825"/>
  <c r="BE165" i="825"/>
  <c r="BC165" i="825"/>
  <c r="BZ164" i="825"/>
  <c r="BY164" i="825"/>
  <c r="BW164" i="825"/>
  <c r="BU164" i="825"/>
  <c r="BH164" i="825"/>
  <c r="BG164" i="825"/>
  <c r="BE164" i="825"/>
  <c r="BC164" i="825"/>
  <c r="BU163" i="825"/>
  <c r="BW163" i="825"/>
  <c r="BY163" i="825"/>
  <c r="BZ163" i="825"/>
  <c r="BE163" i="825"/>
  <c r="BC163" i="825"/>
  <c r="BG163" i="825"/>
  <c r="BH163" i="825"/>
  <c r="BZ162" i="825"/>
  <c r="BY162" i="825"/>
  <c r="BW162" i="825"/>
  <c r="BU162" i="825"/>
  <c r="BC162" i="825"/>
  <c r="BH162" i="825"/>
  <c r="BG162" i="825"/>
  <c r="BE162" i="825"/>
  <c r="BZ161" i="825"/>
  <c r="BY161" i="825"/>
  <c r="BW161" i="825"/>
  <c r="BU161" i="825"/>
  <c r="BH161" i="825"/>
  <c r="BC161" i="825"/>
  <c r="BE161" i="825"/>
  <c r="BG161" i="825"/>
  <c r="BZ160" i="825"/>
  <c r="BY160" i="825"/>
  <c r="BU160" i="825"/>
  <c r="BW160" i="825"/>
  <c r="BC160" i="825"/>
  <c r="BE160" i="825"/>
  <c r="BH160" i="825"/>
  <c r="BG160" i="825"/>
  <c r="BZ159" i="825"/>
  <c r="BW159" i="825"/>
  <c r="BU159" i="825"/>
  <c r="BY159" i="825"/>
  <c r="BG159" i="825"/>
  <c r="BH159" i="825"/>
  <c r="BC159" i="825"/>
  <c r="BE159" i="825"/>
  <c r="BY158" i="825"/>
  <c r="BW158" i="825"/>
  <c r="BU158" i="825"/>
  <c r="BZ158" i="825"/>
  <c r="BE158" i="825"/>
  <c r="BC158" i="825"/>
  <c r="BG158" i="825"/>
  <c r="BH158" i="825"/>
  <c r="BW157" i="825"/>
  <c r="BY157" i="825"/>
  <c r="BU157" i="825"/>
  <c r="BZ157" i="825"/>
  <c r="BG157" i="825"/>
  <c r="BH157" i="825"/>
  <c r="BC157" i="825"/>
  <c r="BE157" i="825"/>
  <c r="BY156" i="825"/>
  <c r="BU156" i="825"/>
  <c r="BW156" i="825"/>
  <c r="BZ156" i="825"/>
  <c r="BC156" i="825"/>
  <c r="BE156" i="825"/>
  <c r="BG156" i="825"/>
  <c r="BH156" i="825"/>
  <c r="BZ155" i="825"/>
  <c r="BY155" i="825"/>
  <c r="BU155" i="825"/>
  <c r="BW155" i="825"/>
  <c r="BG155" i="825"/>
  <c r="BC155" i="825"/>
  <c r="BE155" i="825"/>
  <c r="BH155" i="825"/>
  <c r="BU154" i="825"/>
  <c r="BZ154" i="825"/>
  <c r="BY154" i="825"/>
  <c r="BW154" i="825"/>
  <c r="BG154" i="825"/>
  <c r="BC154" i="825"/>
  <c r="BE154" i="825"/>
  <c r="BH154" i="825"/>
  <c r="BW153" i="825"/>
  <c r="BU153" i="825"/>
  <c r="BY153" i="825"/>
  <c r="BZ153" i="825"/>
  <c r="BG153" i="825"/>
  <c r="BH153" i="825"/>
  <c r="BE153" i="825"/>
  <c r="BC153" i="825"/>
  <c r="BU152" i="825"/>
  <c r="BY152" i="825"/>
  <c r="BZ152" i="825"/>
  <c r="BW152" i="825"/>
  <c r="BG152" i="825"/>
  <c r="BE152" i="825"/>
  <c r="BH152" i="825"/>
  <c r="BC152" i="825"/>
  <c r="BZ151" i="825"/>
  <c r="BY151" i="825"/>
  <c r="BU151" i="825"/>
  <c r="BW151" i="825"/>
  <c r="BC151" i="825"/>
  <c r="BE151" i="825"/>
  <c r="BU150" i="825"/>
  <c r="BY150" i="825"/>
  <c r="BW150" i="825"/>
  <c r="BZ150" i="825"/>
  <c r="BH150" i="825"/>
  <c r="BG150" i="825"/>
  <c r="BE150" i="825"/>
  <c r="BC150" i="825"/>
  <c r="BZ149" i="825"/>
  <c r="BU149" i="825"/>
  <c r="BW149" i="825"/>
  <c r="BY149" i="825"/>
  <c r="BC149" i="825"/>
  <c r="BE149" i="825"/>
  <c r="BG149" i="825"/>
  <c r="BH149" i="825"/>
  <c r="BW148" i="825"/>
  <c r="BY148" i="825"/>
  <c r="BZ148" i="825"/>
  <c r="BU148" i="825"/>
  <c r="BG148" i="825"/>
  <c r="BE148" i="825"/>
  <c r="BC148" i="825"/>
  <c r="BH148" i="825"/>
  <c r="BZ147" i="825"/>
  <c r="BY147" i="825"/>
  <c r="BW147" i="825"/>
  <c r="BU147" i="825"/>
  <c r="BH147" i="825"/>
  <c r="BG147" i="825"/>
  <c r="BC147" i="825"/>
  <c r="BE147" i="825"/>
  <c r="BU146" i="825"/>
  <c r="BY146" i="825"/>
  <c r="BZ146" i="825"/>
  <c r="BW146" i="825"/>
  <c r="BG146" i="825"/>
  <c r="BC146" i="825"/>
  <c r="BH146" i="825"/>
  <c r="BE146" i="825"/>
  <c r="BZ145" i="825"/>
  <c r="BY145" i="825"/>
  <c r="BW145" i="825"/>
  <c r="BU145" i="825"/>
  <c r="BH145" i="825"/>
  <c r="BG145" i="825"/>
  <c r="BC145" i="825"/>
  <c r="BE145" i="825"/>
  <c r="BZ144" i="825"/>
  <c r="BW144" i="825"/>
  <c r="BU144" i="825"/>
  <c r="BY144" i="825"/>
  <c r="BH144" i="825"/>
  <c r="BG144" i="825"/>
  <c r="BE144" i="825"/>
  <c r="BC144" i="825"/>
  <c r="BZ143" i="825"/>
  <c r="BY143" i="825"/>
  <c r="BW143" i="825"/>
  <c r="BU143" i="825"/>
  <c r="BH143" i="825"/>
  <c r="BC143" i="825"/>
  <c r="BG143" i="825"/>
  <c r="BE143" i="825"/>
  <c r="BZ142" i="825"/>
  <c r="BY142" i="825"/>
  <c r="BU142" i="825"/>
  <c r="BW142" i="825"/>
  <c r="BH142" i="825"/>
  <c r="BG142" i="825"/>
  <c r="BE142" i="825"/>
  <c r="BC142" i="825"/>
  <c r="BZ141" i="825"/>
  <c r="BW141" i="825"/>
  <c r="BU141" i="825"/>
  <c r="BY141" i="825"/>
  <c r="BG141" i="825"/>
  <c r="BC141" i="825"/>
  <c r="BH141" i="825"/>
  <c r="BE141" i="825"/>
  <c r="BU140" i="825"/>
  <c r="BW140" i="825"/>
  <c r="BY140" i="825"/>
  <c r="BZ140" i="825"/>
  <c r="BE140" i="825"/>
  <c r="BH140" i="825"/>
  <c r="BG140" i="825"/>
  <c r="BC140" i="825"/>
  <c r="BW139" i="825"/>
  <c r="BU139" i="825"/>
  <c r="BZ139" i="825"/>
  <c r="BY139" i="825"/>
  <c r="BH139" i="825"/>
  <c r="BG139" i="825"/>
  <c r="BE139" i="825"/>
  <c r="BC139" i="825"/>
  <c r="BZ138" i="825"/>
  <c r="BY138" i="825"/>
  <c r="BW138" i="825"/>
  <c r="BU138" i="825"/>
  <c r="BC138" i="825"/>
  <c r="BE138" i="825"/>
  <c r="BG138" i="825"/>
  <c r="BH138" i="825"/>
  <c r="BU137" i="825"/>
  <c r="BW137" i="825"/>
  <c r="BY137" i="825"/>
  <c r="BZ137" i="825"/>
  <c r="BE137" i="825"/>
  <c r="BC137" i="825"/>
  <c r="BH137" i="825"/>
  <c r="BG137" i="825"/>
  <c r="BZ136" i="825"/>
  <c r="BY136" i="825"/>
  <c r="BW136" i="825"/>
  <c r="BU136" i="825"/>
  <c r="BH136" i="825"/>
  <c r="BE136" i="825"/>
  <c r="BC136" i="825"/>
  <c r="BG136" i="825"/>
  <c r="BU135" i="825"/>
  <c r="BZ135" i="825"/>
  <c r="BY135" i="825"/>
  <c r="BW135" i="825"/>
  <c r="BC135" i="825"/>
  <c r="BH135" i="825"/>
  <c r="BG135" i="825"/>
  <c r="BE135" i="825"/>
  <c r="BY134" i="825"/>
  <c r="BW134" i="825"/>
  <c r="BZ134" i="825"/>
  <c r="BU134" i="825"/>
  <c r="BC134" i="825"/>
  <c r="BG134" i="825"/>
  <c r="BH134" i="825"/>
  <c r="BE134" i="825"/>
  <c r="BZ133" i="825"/>
  <c r="BY133" i="825"/>
  <c r="BW133" i="825"/>
  <c r="BU133" i="825"/>
  <c r="BH133" i="825"/>
  <c r="BG133" i="825"/>
  <c r="BE133" i="825"/>
  <c r="BC133" i="825"/>
  <c r="BZ132" i="825"/>
  <c r="BY132" i="825"/>
  <c r="BW132" i="825"/>
  <c r="BU132" i="825"/>
  <c r="BE132" i="825"/>
  <c r="BC132" i="825"/>
  <c r="BG132" i="825"/>
  <c r="BH132" i="825"/>
  <c r="BU131" i="825"/>
  <c r="BW131" i="825"/>
  <c r="BY131" i="825"/>
  <c r="BZ131" i="825"/>
  <c r="BC131" i="825"/>
  <c r="BE131" i="825"/>
  <c r="BG131" i="825"/>
  <c r="BH131" i="825"/>
  <c r="BZ130" i="825"/>
  <c r="BY130" i="825"/>
  <c r="BW130" i="825"/>
  <c r="BU130" i="825"/>
  <c r="BH130" i="825"/>
  <c r="BG130" i="825"/>
  <c r="BE130" i="825"/>
  <c r="BC130" i="825"/>
  <c r="BZ129" i="825"/>
  <c r="BY129" i="825"/>
  <c r="BW129" i="825"/>
  <c r="BU129" i="825"/>
  <c r="BH129" i="825"/>
  <c r="BE129" i="825"/>
  <c r="BC129" i="825"/>
  <c r="BG129" i="825"/>
  <c r="BY128" i="825"/>
  <c r="BW128" i="825"/>
  <c r="BU128" i="825"/>
  <c r="BZ128" i="825"/>
  <c r="BH128" i="825"/>
  <c r="BG128" i="825"/>
  <c r="BE128" i="825"/>
  <c r="BC128" i="825"/>
  <c r="Y89" i="825"/>
  <c r="U89" i="825"/>
  <c r="K10" i="825"/>
  <c r="K9" i="825"/>
  <c r="AA8" i="825"/>
  <c r="AO8" i="825" s="1"/>
  <c r="AD8" i="825"/>
  <c r="K8" i="825"/>
  <c r="E9" i="824"/>
  <c r="AE53" i="824" l="1"/>
  <c r="AE37" i="824"/>
  <c r="G10" i="834"/>
  <c r="T10" i="834"/>
  <c r="T11" i="834"/>
  <c r="T12" i="834"/>
  <c r="T13" i="834"/>
  <c r="T14" i="834"/>
  <c r="T15" i="834"/>
  <c r="T16" i="834"/>
  <c r="T17" i="834"/>
  <c r="T18" i="834"/>
  <c r="T19" i="834"/>
  <c r="T20" i="834"/>
  <c r="T21" i="834"/>
  <c r="J9" i="834"/>
  <c r="U9" i="834" s="1"/>
  <c r="J8" i="834"/>
  <c r="G14" i="834"/>
  <c r="G20" i="834"/>
  <c r="G13" i="834"/>
  <c r="G15" i="834"/>
  <c r="G19" i="834"/>
  <c r="G12" i="834"/>
  <c r="G16" i="834"/>
  <c r="G21" i="834"/>
  <c r="G17" i="834"/>
  <c r="G18" i="834"/>
  <c r="G11" i="834"/>
  <c r="N11" i="834" a="1"/>
  <c r="N9" i="834" a="1"/>
  <c r="K8" i="834" s="1"/>
  <c r="N10" i="834" a="1"/>
  <c r="K9" i="834" s="1"/>
  <c r="I8" i="834"/>
  <c r="U10" i="825"/>
  <c r="Y10" i="825" s="1"/>
  <c r="V8" i="825"/>
  <c r="S6" i="825"/>
  <c r="AN8" i="825"/>
  <c r="AM8" i="825" s="1"/>
  <c r="BH121" i="825"/>
  <c r="BZ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H206" i="825"/>
  <c r="BZ206" i="825"/>
  <c r="BM127" i="825"/>
  <c r="AU127" i="825"/>
  <c r="AU126" i="825"/>
  <c r="BM126" i="825"/>
  <c r="BM125" i="825"/>
  <c r="AU125" i="825"/>
  <c r="F15" i="824"/>
  <c r="D9" i="824"/>
  <c r="F13" i="824"/>
  <c r="F17" i="824"/>
  <c r="E12" i="824" s="1"/>
  <c r="E6" i="824"/>
  <c r="BQ204" i="824"/>
  <c r="BO204" i="824"/>
  <c r="BN204" i="824"/>
  <c r="BM204" i="824"/>
  <c r="BK204" i="824"/>
  <c r="AY204" i="824"/>
  <c r="AW204" i="824"/>
  <c r="AV204" i="824"/>
  <c r="AU204" i="824"/>
  <c r="AS204" i="824"/>
  <c r="BQ203" i="824"/>
  <c r="BO203" i="824"/>
  <c r="BN203" i="824"/>
  <c r="BM203" i="824"/>
  <c r="BK203" i="824"/>
  <c r="AY203" i="824"/>
  <c r="AW203" i="824"/>
  <c r="AV203" i="824"/>
  <c r="AU203" i="824"/>
  <c r="AS203" i="824"/>
  <c r="BQ202" i="824"/>
  <c r="BO202" i="824"/>
  <c r="BN202" i="824"/>
  <c r="BM202" i="824"/>
  <c r="BK202" i="824"/>
  <c r="AY202" i="824"/>
  <c r="AW202" i="824"/>
  <c r="AV202" i="824"/>
  <c r="AU202" i="824"/>
  <c r="AS202" i="824"/>
  <c r="BQ201" i="824"/>
  <c r="BO201" i="824"/>
  <c r="BN201" i="824"/>
  <c r="BM201" i="824"/>
  <c r="BK201" i="824"/>
  <c r="AY201" i="824"/>
  <c r="AW201" i="824"/>
  <c r="AV201" i="824"/>
  <c r="AU201" i="824"/>
  <c r="AS201" i="824"/>
  <c r="BQ200" i="824"/>
  <c r="BO200" i="824"/>
  <c r="BN200" i="824"/>
  <c r="BM200" i="824"/>
  <c r="BK200" i="824"/>
  <c r="AY200" i="824"/>
  <c r="AW200" i="824"/>
  <c r="AV200" i="824"/>
  <c r="AU200" i="824"/>
  <c r="AS200" i="824"/>
  <c r="BQ199" i="824"/>
  <c r="BO199" i="824"/>
  <c r="BN199" i="824"/>
  <c r="BM199" i="824"/>
  <c r="BK199" i="824"/>
  <c r="AY199" i="824"/>
  <c r="AW199" i="824"/>
  <c r="AV199" i="824"/>
  <c r="AU199" i="824"/>
  <c r="AS199" i="824"/>
  <c r="BQ198" i="824"/>
  <c r="BO198" i="824"/>
  <c r="BN198" i="824"/>
  <c r="BM198" i="824"/>
  <c r="BK198" i="824"/>
  <c r="AY198" i="824"/>
  <c r="AW198" i="824"/>
  <c r="AV198" i="824"/>
  <c r="AU198" i="824"/>
  <c r="AS198" i="824"/>
  <c r="BQ197" i="824"/>
  <c r="BO197" i="824"/>
  <c r="BN197" i="824"/>
  <c r="BM197" i="824"/>
  <c r="BK197" i="824"/>
  <c r="AY197" i="824"/>
  <c r="AW197" i="824"/>
  <c r="AV197" i="824"/>
  <c r="AU197" i="824"/>
  <c r="AS197" i="824"/>
  <c r="BQ196" i="824"/>
  <c r="BO196" i="824"/>
  <c r="BN196" i="824"/>
  <c r="BM196" i="824"/>
  <c r="BK196" i="824"/>
  <c r="AY196" i="824"/>
  <c r="AW196" i="824"/>
  <c r="AV196" i="824"/>
  <c r="AU196" i="824"/>
  <c r="AS196" i="824"/>
  <c r="BQ195" i="824"/>
  <c r="BO195" i="824"/>
  <c r="BN195" i="824"/>
  <c r="BM195" i="824"/>
  <c r="BK195" i="824"/>
  <c r="AY195" i="824"/>
  <c r="AW195" i="824"/>
  <c r="AV195" i="824"/>
  <c r="AU195" i="824"/>
  <c r="AS195" i="824"/>
  <c r="BQ194" i="824"/>
  <c r="BO194" i="824"/>
  <c r="BN194" i="824"/>
  <c r="BM194" i="824"/>
  <c r="BK194" i="824"/>
  <c r="AY194" i="824"/>
  <c r="AW194" i="824"/>
  <c r="AV194" i="824"/>
  <c r="AU194" i="824"/>
  <c r="AS194" i="824"/>
  <c r="BQ193" i="824"/>
  <c r="BO193" i="824"/>
  <c r="BN193" i="824"/>
  <c r="BM193" i="824"/>
  <c r="BK193" i="824"/>
  <c r="AY193" i="824"/>
  <c r="AW193" i="824"/>
  <c r="AV193" i="824"/>
  <c r="AU193" i="824"/>
  <c r="AS193" i="824"/>
  <c r="BQ192" i="824"/>
  <c r="BO192" i="824"/>
  <c r="BN192" i="824"/>
  <c r="BM192" i="824"/>
  <c r="BK192" i="824"/>
  <c r="AY192" i="824"/>
  <c r="AW192" i="824"/>
  <c r="AV192" i="824"/>
  <c r="AU192" i="824"/>
  <c r="AS192" i="824"/>
  <c r="BQ191" i="824"/>
  <c r="BO191" i="824"/>
  <c r="BN191" i="824"/>
  <c r="BM191" i="824"/>
  <c r="BK191" i="824"/>
  <c r="AY191" i="824"/>
  <c r="AW191" i="824"/>
  <c r="AV191" i="824"/>
  <c r="AU191" i="824"/>
  <c r="AS191" i="824"/>
  <c r="BQ190" i="824"/>
  <c r="BO190" i="824"/>
  <c r="BN190" i="824"/>
  <c r="BM190" i="824"/>
  <c r="BK190" i="824"/>
  <c r="AY190" i="824"/>
  <c r="AW190" i="824"/>
  <c r="AV190" i="824"/>
  <c r="AU190" i="824"/>
  <c r="AS190" i="824"/>
  <c r="BQ189" i="824"/>
  <c r="BO189" i="824"/>
  <c r="BN189" i="824"/>
  <c r="BM189" i="824"/>
  <c r="BK189" i="824"/>
  <c r="AY189" i="824"/>
  <c r="AW189" i="824"/>
  <c r="AV189" i="824"/>
  <c r="AU189" i="824"/>
  <c r="AS189" i="824"/>
  <c r="BQ188" i="824"/>
  <c r="BO188" i="824"/>
  <c r="BN188" i="824"/>
  <c r="BM188" i="824"/>
  <c r="BK188" i="824"/>
  <c r="AY188" i="824"/>
  <c r="AW188" i="824"/>
  <c r="AV188" i="824"/>
  <c r="AU188" i="824"/>
  <c r="AS188" i="824"/>
  <c r="BQ187" i="824"/>
  <c r="BO187" i="824"/>
  <c r="BN187" i="824"/>
  <c r="BM187" i="824"/>
  <c r="BK187" i="824"/>
  <c r="AY187" i="824"/>
  <c r="AW187" i="824"/>
  <c r="AV187" i="824"/>
  <c r="AU187" i="824"/>
  <c r="AS187" i="824"/>
  <c r="BQ186" i="824"/>
  <c r="BO186" i="824"/>
  <c r="BN186" i="824"/>
  <c r="BM186" i="824"/>
  <c r="BK186" i="824"/>
  <c r="AY186" i="824"/>
  <c r="AW186" i="824"/>
  <c r="AV186" i="824"/>
  <c r="AU186" i="824"/>
  <c r="AS186" i="824"/>
  <c r="BQ185" i="824"/>
  <c r="BO185" i="824"/>
  <c r="BN185" i="824"/>
  <c r="BM185" i="824"/>
  <c r="BK185" i="824"/>
  <c r="AY185" i="824"/>
  <c r="AW185" i="824"/>
  <c r="AV185" i="824"/>
  <c r="AU185" i="824"/>
  <c r="AS185" i="824"/>
  <c r="BQ184" i="824"/>
  <c r="BO184" i="824"/>
  <c r="BN184" i="824"/>
  <c r="BM184" i="824"/>
  <c r="BK184" i="824"/>
  <c r="AY184" i="824"/>
  <c r="AW184" i="824"/>
  <c r="AV184" i="824"/>
  <c r="AU184" i="824"/>
  <c r="AS184" i="824"/>
  <c r="AZ184" i="824" s="1"/>
  <c r="BQ183" i="824"/>
  <c r="BO183" i="824"/>
  <c r="BN183" i="824"/>
  <c r="BM183" i="824"/>
  <c r="BK183" i="824"/>
  <c r="AY183" i="824"/>
  <c r="AW183" i="824"/>
  <c r="AV183" i="824"/>
  <c r="AU183" i="824"/>
  <c r="AS183" i="824"/>
  <c r="BQ182" i="824"/>
  <c r="BO182" i="824"/>
  <c r="BN182" i="824"/>
  <c r="BM182" i="824"/>
  <c r="BK182" i="824"/>
  <c r="AY182" i="824"/>
  <c r="AW182" i="824"/>
  <c r="AV182" i="824"/>
  <c r="AU182" i="824"/>
  <c r="AS182" i="824"/>
  <c r="AZ182" i="824" s="1"/>
  <c r="BQ181" i="824"/>
  <c r="BO181" i="824"/>
  <c r="BN181" i="824"/>
  <c r="BM181" i="824"/>
  <c r="BK181" i="824"/>
  <c r="AY181" i="824"/>
  <c r="AW181" i="824"/>
  <c r="AV181" i="824"/>
  <c r="AU181" i="824"/>
  <c r="AS181" i="824"/>
  <c r="BQ180" i="824"/>
  <c r="BO180" i="824"/>
  <c r="BN180" i="824"/>
  <c r="BM180" i="824"/>
  <c r="BK180" i="824"/>
  <c r="AY180" i="824"/>
  <c r="AW180" i="824"/>
  <c r="AV180" i="824"/>
  <c r="AU180" i="824"/>
  <c r="AS180" i="824"/>
  <c r="AZ180" i="824" s="1"/>
  <c r="BQ179" i="824"/>
  <c r="BO179" i="824"/>
  <c r="BN179" i="824"/>
  <c r="BM179" i="824"/>
  <c r="BK179" i="824"/>
  <c r="AY179" i="824"/>
  <c r="AW179" i="824"/>
  <c r="AV179" i="824"/>
  <c r="AU179" i="824"/>
  <c r="AS179" i="824"/>
  <c r="BQ178" i="824"/>
  <c r="BO178" i="824"/>
  <c r="BN178" i="824"/>
  <c r="BM178" i="824"/>
  <c r="BK178" i="824"/>
  <c r="AY178" i="824"/>
  <c r="AW178" i="824"/>
  <c r="AV178" i="824"/>
  <c r="AU178" i="824"/>
  <c r="AS178" i="824"/>
  <c r="AZ178" i="824" s="1"/>
  <c r="BQ177" i="824"/>
  <c r="BO177" i="824"/>
  <c r="BN177" i="824"/>
  <c r="BM177" i="824"/>
  <c r="BK177" i="824"/>
  <c r="AY177" i="824"/>
  <c r="AW177" i="824"/>
  <c r="AV177" i="824"/>
  <c r="AU177" i="824"/>
  <c r="AS177" i="824"/>
  <c r="BQ176" i="824"/>
  <c r="BO176" i="824"/>
  <c r="BN176" i="824"/>
  <c r="BM176" i="824"/>
  <c r="BK176" i="824"/>
  <c r="AY176" i="824"/>
  <c r="AW176" i="824"/>
  <c r="AV176" i="824"/>
  <c r="AU176" i="824"/>
  <c r="AS176" i="824"/>
  <c r="AZ176" i="824" s="1"/>
  <c r="BQ175" i="824"/>
  <c r="BO175" i="824"/>
  <c r="BN175" i="824"/>
  <c r="BM175" i="824"/>
  <c r="BK175" i="824"/>
  <c r="BR175" i="824" s="1"/>
  <c r="AY175" i="824"/>
  <c r="AW175" i="824"/>
  <c r="AV175" i="824"/>
  <c r="AU175" i="824"/>
  <c r="AS175" i="824"/>
  <c r="BQ174" i="824"/>
  <c r="BO174" i="824"/>
  <c r="BN174" i="824"/>
  <c r="BM174" i="824"/>
  <c r="BK174" i="824"/>
  <c r="AY174" i="824"/>
  <c r="AW174" i="824"/>
  <c r="AV174" i="824"/>
  <c r="AU174" i="824"/>
  <c r="AS174" i="824"/>
  <c r="AZ174" i="824" s="1"/>
  <c r="BQ173" i="824"/>
  <c r="BO173" i="824"/>
  <c r="BN173" i="824"/>
  <c r="BM173" i="824"/>
  <c r="BK173" i="824"/>
  <c r="AY173" i="824"/>
  <c r="AW173" i="824"/>
  <c r="AV173" i="824"/>
  <c r="AU173" i="824"/>
  <c r="AS173" i="824"/>
  <c r="BQ172" i="824"/>
  <c r="BO172" i="824"/>
  <c r="BN172" i="824"/>
  <c r="BM172" i="824"/>
  <c r="BK172" i="824"/>
  <c r="AY172" i="824"/>
  <c r="AW172" i="824"/>
  <c r="AV172" i="824"/>
  <c r="AU172" i="824"/>
  <c r="AS172" i="824"/>
  <c r="AZ172" i="824" s="1"/>
  <c r="BQ171" i="824"/>
  <c r="BO171" i="824"/>
  <c r="BN171" i="824"/>
  <c r="BM171" i="824"/>
  <c r="BK171" i="824"/>
  <c r="BR171" i="824" s="1"/>
  <c r="AY171" i="824"/>
  <c r="AW171" i="824"/>
  <c r="AV171" i="824"/>
  <c r="AU171" i="824"/>
  <c r="AS171" i="824"/>
  <c r="BQ170" i="824"/>
  <c r="BO170" i="824"/>
  <c r="BN170" i="824"/>
  <c r="BM170" i="824"/>
  <c r="BK170" i="824"/>
  <c r="AY170" i="824"/>
  <c r="AW170" i="824"/>
  <c r="AV170" i="824"/>
  <c r="AU170" i="824"/>
  <c r="AS170" i="824"/>
  <c r="AZ170" i="824" s="1"/>
  <c r="BQ169" i="824"/>
  <c r="BO169" i="824"/>
  <c r="BN169" i="824"/>
  <c r="BM169" i="824"/>
  <c r="BK169" i="824"/>
  <c r="BR169" i="824" s="1"/>
  <c r="AY169" i="824"/>
  <c r="AW169" i="824"/>
  <c r="AV169" i="824"/>
  <c r="AU169" i="824"/>
  <c r="AS169" i="824"/>
  <c r="BQ168" i="824"/>
  <c r="BO168" i="824"/>
  <c r="BN168" i="824"/>
  <c r="BM168" i="824"/>
  <c r="BK168" i="824"/>
  <c r="AY168" i="824"/>
  <c r="AW168" i="824"/>
  <c r="AV168" i="824"/>
  <c r="AU168" i="824"/>
  <c r="AS168" i="824"/>
  <c r="AZ168" i="824" s="1"/>
  <c r="BQ167" i="824"/>
  <c r="BO167" i="824"/>
  <c r="BN167" i="824"/>
  <c r="BM167" i="824"/>
  <c r="BK167" i="824"/>
  <c r="BR167" i="824" s="1"/>
  <c r="AY167" i="824"/>
  <c r="AW167" i="824"/>
  <c r="AV167" i="824"/>
  <c r="AU167" i="824"/>
  <c r="AS167" i="824"/>
  <c r="BQ166" i="824"/>
  <c r="BO166" i="824"/>
  <c r="BN166" i="824"/>
  <c r="BM166" i="824"/>
  <c r="BK166" i="824"/>
  <c r="AY166" i="824"/>
  <c r="AW166" i="824"/>
  <c r="AV166" i="824"/>
  <c r="AU166" i="824"/>
  <c r="AS166" i="824"/>
  <c r="AZ166" i="824" s="1"/>
  <c r="BQ165" i="824"/>
  <c r="BO165" i="824"/>
  <c r="BN165" i="824"/>
  <c r="BM165" i="824"/>
  <c r="BK165" i="824"/>
  <c r="AY165" i="824"/>
  <c r="AW165" i="824"/>
  <c r="AV165" i="824"/>
  <c r="AU165" i="824"/>
  <c r="AS165" i="824"/>
  <c r="BQ164" i="824"/>
  <c r="BO164" i="824"/>
  <c r="BN164" i="824"/>
  <c r="BM164" i="824"/>
  <c r="BK164" i="824"/>
  <c r="AY164" i="824"/>
  <c r="AW164" i="824"/>
  <c r="AV164" i="824"/>
  <c r="AU164" i="824"/>
  <c r="AS164" i="824"/>
  <c r="AZ164" i="824" s="1"/>
  <c r="BQ163" i="824"/>
  <c r="BO163" i="824"/>
  <c r="BN163" i="824"/>
  <c r="BM163" i="824"/>
  <c r="BK163" i="824"/>
  <c r="BR163" i="824" s="1"/>
  <c r="AY163" i="824"/>
  <c r="AW163" i="824"/>
  <c r="AV163" i="824"/>
  <c r="AU163" i="824"/>
  <c r="AS163" i="824"/>
  <c r="BQ162" i="824"/>
  <c r="BO162" i="824"/>
  <c r="BN162" i="824"/>
  <c r="BM162" i="824"/>
  <c r="BK162" i="824"/>
  <c r="BT162" i="824" s="1"/>
  <c r="AY162" i="824"/>
  <c r="AW162" i="824"/>
  <c r="AV162" i="824"/>
  <c r="AU162" i="824"/>
  <c r="AS162" i="824"/>
  <c r="BB162" i="824" s="1"/>
  <c r="BQ161" i="824"/>
  <c r="BO161" i="824"/>
  <c r="BN161" i="824"/>
  <c r="BM161" i="824"/>
  <c r="BK161" i="824"/>
  <c r="BT161" i="824" s="1"/>
  <c r="AY161" i="824"/>
  <c r="AW161" i="824"/>
  <c r="AV161" i="824"/>
  <c r="AU161" i="824"/>
  <c r="AS161" i="824"/>
  <c r="BB161" i="824" s="1"/>
  <c r="BQ160" i="824"/>
  <c r="BO160" i="824"/>
  <c r="BN160" i="824"/>
  <c r="BM160" i="824"/>
  <c r="BK160" i="824"/>
  <c r="AY160" i="824"/>
  <c r="AW160" i="824"/>
  <c r="AV160" i="824"/>
  <c r="AU160" i="824"/>
  <c r="AS160" i="824"/>
  <c r="BQ159" i="824"/>
  <c r="BO159" i="824"/>
  <c r="BN159" i="824"/>
  <c r="BM159" i="824"/>
  <c r="BK159" i="824"/>
  <c r="BT159" i="824" s="1"/>
  <c r="AY159" i="824"/>
  <c r="AW159" i="824"/>
  <c r="AV159" i="824"/>
  <c r="AU159" i="824"/>
  <c r="AS159" i="824"/>
  <c r="BB159" i="824" s="1"/>
  <c r="BQ158" i="824"/>
  <c r="BO158" i="824"/>
  <c r="BN158" i="824"/>
  <c r="BM158" i="824"/>
  <c r="BK158" i="824"/>
  <c r="BT158" i="824" s="1"/>
  <c r="AY158" i="824"/>
  <c r="AW158" i="824"/>
  <c r="AV158" i="824"/>
  <c r="AU158" i="824"/>
  <c r="AS158" i="824"/>
  <c r="BB158" i="824" s="1"/>
  <c r="BQ157" i="824"/>
  <c r="BO157" i="824"/>
  <c r="BN157" i="824"/>
  <c r="BM157" i="824"/>
  <c r="BK157" i="824"/>
  <c r="BT157" i="824" s="1"/>
  <c r="AY157" i="824"/>
  <c r="AW157" i="824"/>
  <c r="AV157" i="824"/>
  <c r="AU157" i="824"/>
  <c r="AS157" i="824"/>
  <c r="BB157" i="824" s="1"/>
  <c r="BQ156" i="824"/>
  <c r="BO156" i="824"/>
  <c r="BN156" i="824"/>
  <c r="BM156" i="824"/>
  <c r="BK156" i="824"/>
  <c r="BT156" i="824" s="1"/>
  <c r="AY156" i="824"/>
  <c r="AW156" i="824"/>
  <c r="AV156" i="824"/>
  <c r="AU156" i="824"/>
  <c r="AS156" i="824"/>
  <c r="BB156" i="824" s="1"/>
  <c r="BQ155" i="824"/>
  <c r="BO155" i="824"/>
  <c r="BN155" i="824"/>
  <c r="BM155" i="824"/>
  <c r="BK155" i="824"/>
  <c r="BT155" i="824" s="1"/>
  <c r="AY155" i="824"/>
  <c r="AW155" i="824"/>
  <c r="AV155" i="824"/>
  <c r="AU155" i="824"/>
  <c r="AS155" i="824"/>
  <c r="BB155" i="824" s="1"/>
  <c r="BQ154" i="824"/>
  <c r="BO154" i="824"/>
  <c r="BN154" i="824"/>
  <c r="BM154" i="824"/>
  <c r="BK154" i="824"/>
  <c r="AY154" i="824"/>
  <c r="AW154" i="824"/>
  <c r="AV154" i="824"/>
  <c r="AU154" i="824"/>
  <c r="AS154" i="824"/>
  <c r="BQ153" i="824"/>
  <c r="BO153" i="824"/>
  <c r="BN153" i="824"/>
  <c r="BM153" i="824"/>
  <c r="BK153" i="824"/>
  <c r="BT153" i="824" s="1"/>
  <c r="AY153" i="824"/>
  <c r="AW153" i="824"/>
  <c r="AV153" i="824"/>
  <c r="AU153" i="824"/>
  <c r="AS153" i="824"/>
  <c r="BB153" i="824" s="1"/>
  <c r="BQ152" i="824"/>
  <c r="BO152" i="824"/>
  <c r="BN152" i="824"/>
  <c r="BM152" i="824"/>
  <c r="BK152" i="824"/>
  <c r="BT152" i="824" s="1"/>
  <c r="AY152" i="824"/>
  <c r="AW152" i="824"/>
  <c r="AV152" i="824"/>
  <c r="AU152" i="824"/>
  <c r="AS152" i="824"/>
  <c r="BB152" i="824" s="1"/>
  <c r="BQ151" i="824"/>
  <c r="BO151" i="824"/>
  <c r="BN151" i="824"/>
  <c r="BM151" i="824"/>
  <c r="BK151" i="824"/>
  <c r="BT151" i="824" s="1"/>
  <c r="AY151" i="824"/>
  <c r="AW151" i="824"/>
  <c r="AV151" i="824"/>
  <c r="AU151" i="824"/>
  <c r="AS151" i="824"/>
  <c r="BB151" i="824" s="1"/>
  <c r="BQ150" i="824"/>
  <c r="BO150" i="824"/>
  <c r="BN150" i="824"/>
  <c r="BM150" i="824"/>
  <c r="BK150" i="824"/>
  <c r="BT150" i="824" s="1"/>
  <c r="AY150" i="824"/>
  <c r="AW150" i="824"/>
  <c r="AV150" i="824"/>
  <c r="AU150" i="824"/>
  <c r="AS150" i="824"/>
  <c r="BB150" i="824" s="1"/>
  <c r="BQ149" i="824"/>
  <c r="BO149" i="824"/>
  <c r="BN149" i="824"/>
  <c r="BM149" i="824"/>
  <c r="BK149" i="824"/>
  <c r="BT149" i="824" s="1"/>
  <c r="AY149" i="824"/>
  <c r="AW149" i="824"/>
  <c r="AV149" i="824"/>
  <c r="AU149" i="824"/>
  <c r="AS149" i="824"/>
  <c r="BB149" i="824" s="1"/>
  <c r="BQ148" i="824"/>
  <c r="BO148" i="824"/>
  <c r="BN148" i="824"/>
  <c r="BM148" i="824"/>
  <c r="BK148" i="824"/>
  <c r="AY148" i="824"/>
  <c r="AW148" i="824"/>
  <c r="AV148" i="824"/>
  <c r="AU148" i="824"/>
  <c r="AS148" i="824"/>
  <c r="BQ147" i="824"/>
  <c r="BO147" i="824"/>
  <c r="BN147" i="824"/>
  <c r="BM147" i="824"/>
  <c r="BK147" i="824"/>
  <c r="BT147" i="824" s="1"/>
  <c r="AY147" i="824"/>
  <c r="AW147" i="824"/>
  <c r="AV147" i="824"/>
  <c r="AU147" i="824"/>
  <c r="AS147" i="824"/>
  <c r="BB147" i="824" s="1"/>
  <c r="BQ146" i="824"/>
  <c r="BO146" i="824"/>
  <c r="BN146" i="824"/>
  <c r="BM146" i="824"/>
  <c r="BK146" i="824"/>
  <c r="BT146" i="824" s="1"/>
  <c r="AY146" i="824"/>
  <c r="AW146" i="824"/>
  <c r="AV146" i="824"/>
  <c r="AU146" i="824"/>
  <c r="AS146" i="824"/>
  <c r="BB146" i="824" s="1"/>
  <c r="BQ145" i="824"/>
  <c r="BO145" i="824"/>
  <c r="BN145" i="824"/>
  <c r="BM145" i="824"/>
  <c r="BK145" i="824"/>
  <c r="BT145" i="824" s="1"/>
  <c r="AY145" i="824"/>
  <c r="AW145" i="824"/>
  <c r="AV145" i="824"/>
  <c r="AU145" i="824"/>
  <c r="AS145" i="824"/>
  <c r="BB145" i="824" s="1"/>
  <c r="BQ144" i="824"/>
  <c r="BO144" i="824"/>
  <c r="BN144" i="824"/>
  <c r="BM144" i="824"/>
  <c r="BK144" i="824"/>
  <c r="BT144" i="824" s="1"/>
  <c r="AY144" i="824"/>
  <c r="AW144" i="824"/>
  <c r="AV144" i="824"/>
  <c r="AU144" i="824"/>
  <c r="AS144" i="824"/>
  <c r="BB144" i="824" s="1"/>
  <c r="BQ143" i="824"/>
  <c r="BO143" i="824"/>
  <c r="BN143" i="824"/>
  <c r="BM143" i="824"/>
  <c r="BK143" i="824"/>
  <c r="BT143" i="824" s="1"/>
  <c r="AY143" i="824"/>
  <c r="AW143" i="824"/>
  <c r="AV143" i="824"/>
  <c r="AU143" i="824"/>
  <c r="AS143" i="824"/>
  <c r="BB143" i="824" s="1"/>
  <c r="BQ142" i="824"/>
  <c r="BO142" i="824"/>
  <c r="BN142" i="824"/>
  <c r="BM142" i="824"/>
  <c r="BK142" i="824"/>
  <c r="AY142" i="824"/>
  <c r="AW142" i="824"/>
  <c r="AV142" i="824"/>
  <c r="AU142" i="824"/>
  <c r="AS142" i="824"/>
  <c r="BQ141" i="824"/>
  <c r="BO141" i="824"/>
  <c r="BN141" i="824"/>
  <c r="BM141" i="824"/>
  <c r="BK141" i="824"/>
  <c r="BT141" i="824" s="1"/>
  <c r="AY141" i="824"/>
  <c r="AW141" i="824"/>
  <c r="AV141" i="824"/>
  <c r="AU141" i="824"/>
  <c r="AS141" i="824"/>
  <c r="BB141" i="824" s="1"/>
  <c r="BQ140" i="824"/>
  <c r="BO140" i="824"/>
  <c r="BN140" i="824"/>
  <c r="BM140" i="824"/>
  <c r="BK140" i="824"/>
  <c r="BT140" i="824" s="1"/>
  <c r="AY140" i="824"/>
  <c r="AW140" i="824"/>
  <c r="AV140" i="824"/>
  <c r="AU140" i="824"/>
  <c r="AS140" i="824"/>
  <c r="BB140" i="824" s="1"/>
  <c r="BQ139" i="824"/>
  <c r="BO139" i="824"/>
  <c r="BN139" i="824"/>
  <c r="BM139" i="824"/>
  <c r="BK139" i="824"/>
  <c r="BT139" i="824" s="1"/>
  <c r="AY139" i="824"/>
  <c r="AW139" i="824"/>
  <c r="AV139" i="824"/>
  <c r="AU139" i="824"/>
  <c r="AS139" i="824"/>
  <c r="BB139" i="824" s="1"/>
  <c r="BQ138" i="824"/>
  <c r="BO138" i="824"/>
  <c r="BN138" i="824"/>
  <c r="BM138" i="824"/>
  <c r="BK138" i="824"/>
  <c r="BT138" i="824" s="1"/>
  <c r="AY138" i="824"/>
  <c r="AW138" i="824"/>
  <c r="AV138" i="824"/>
  <c r="AU138" i="824"/>
  <c r="AS138" i="824"/>
  <c r="BB138" i="824" s="1"/>
  <c r="BQ137" i="824"/>
  <c r="BO137" i="824"/>
  <c r="BN137" i="824"/>
  <c r="BM137" i="824"/>
  <c r="BK137" i="824"/>
  <c r="BT137" i="824" s="1"/>
  <c r="AY137" i="824"/>
  <c r="AW137" i="824"/>
  <c r="AV137" i="824"/>
  <c r="AU137" i="824"/>
  <c r="AS137" i="824"/>
  <c r="BB137" i="824" s="1"/>
  <c r="BQ136" i="824"/>
  <c r="BO136" i="824"/>
  <c r="BN136" i="824"/>
  <c r="BM136" i="824"/>
  <c r="BK136" i="824"/>
  <c r="AY136" i="824"/>
  <c r="AW136" i="824"/>
  <c r="AV136" i="824"/>
  <c r="AU136" i="824"/>
  <c r="AS136" i="824"/>
  <c r="BQ135" i="824"/>
  <c r="BO135" i="824"/>
  <c r="BN135" i="824"/>
  <c r="BM135" i="824"/>
  <c r="BK135" i="824"/>
  <c r="BT135" i="824" s="1"/>
  <c r="AY135" i="824"/>
  <c r="AW135" i="824"/>
  <c r="AV135" i="824"/>
  <c r="AU135" i="824"/>
  <c r="AS135" i="824"/>
  <c r="BB135" i="824" s="1"/>
  <c r="BQ134" i="824"/>
  <c r="BO134" i="824"/>
  <c r="BN134" i="824"/>
  <c r="BM134" i="824"/>
  <c r="BK134" i="824"/>
  <c r="BT134" i="824" s="1"/>
  <c r="AY134" i="824"/>
  <c r="AW134" i="824"/>
  <c r="AV134" i="824"/>
  <c r="AU134" i="824"/>
  <c r="AS134" i="824"/>
  <c r="BB134" i="824" s="1"/>
  <c r="BQ133" i="824"/>
  <c r="BO133" i="824"/>
  <c r="BN133" i="824"/>
  <c r="BM133" i="824"/>
  <c r="BK133" i="824"/>
  <c r="BT133" i="824" s="1"/>
  <c r="AY133" i="824"/>
  <c r="AW133" i="824"/>
  <c r="AV133" i="824"/>
  <c r="AU133" i="824"/>
  <c r="AS133" i="824"/>
  <c r="BB133" i="824" s="1"/>
  <c r="BQ132" i="824"/>
  <c r="BO132" i="824"/>
  <c r="BN132" i="824"/>
  <c r="BM132" i="824"/>
  <c r="BK132" i="824"/>
  <c r="BT132" i="824" s="1"/>
  <c r="AY132" i="824"/>
  <c r="AW132" i="824"/>
  <c r="AV132" i="824"/>
  <c r="AU132" i="824"/>
  <c r="AS132" i="824"/>
  <c r="BB132" i="824" s="1"/>
  <c r="BQ131" i="824"/>
  <c r="BO131" i="824"/>
  <c r="BN131" i="824"/>
  <c r="BM131" i="824"/>
  <c r="BK131" i="824"/>
  <c r="BT131" i="824" s="1"/>
  <c r="AY131" i="824"/>
  <c r="AW131" i="824"/>
  <c r="AV131" i="824"/>
  <c r="AU131" i="824"/>
  <c r="AS131" i="824"/>
  <c r="BB131" i="824" s="1"/>
  <c r="BQ130" i="824"/>
  <c r="BO130" i="824"/>
  <c r="BN130" i="824"/>
  <c r="BM130" i="824"/>
  <c r="BK130" i="824"/>
  <c r="AY130" i="824"/>
  <c r="AW130" i="824"/>
  <c r="AV130" i="824"/>
  <c r="AU130" i="824"/>
  <c r="AS130" i="824"/>
  <c r="BQ129" i="824"/>
  <c r="BO129" i="824"/>
  <c r="BN129" i="824"/>
  <c r="BM129" i="824"/>
  <c r="BK129" i="824"/>
  <c r="BT129" i="824" s="1"/>
  <c r="AY129" i="824"/>
  <c r="AW129" i="824"/>
  <c r="AV129" i="824"/>
  <c r="AU129" i="824"/>
  <c r="AS129" i="824"/>
  <c r="BB129" i="824" s="1"/>
  <c r="BQ128" i="824"/>
  <c r="BO128" i="824"/>
  <c r="BN128" i="824"/>
  <c r="BM128" i="824"/>
  <c r="BK128" i="824"/>
  <c r="BT128" i="824" s="1"/>
  <c r="AY128" i="824"/>
  <c r="AW128" i="824"/>
  <c r="AV128" i="824"/>
  <c r="AU128" i="824"/>
  <c r="AS128" i="824"/>
  <c r="BB128" i="824" s="1"/>
  <c r="BQ127" i="824"/>
  <c r="BO127" i="824"/>
  <c r="BN127" i="824"/>
  <c r="BM127" i="824"/>
  <c r="BK127" i="824"/>
  <c r="AY127" i="824"/>
  <c r="AW127" i="824"/>
  <c r="AV127" i="824"/>
  <c r="AU127" i="824"/>
  <c r="AS127" i="824"/>
  <c r="BQ126" i="824"/>
  <c r="BO126" i="824"/>
  <c r="BN126" i="824"/>
  <c r="BM126" i="824"/>
  <c r="BK126" i="824"/>
  <c r="AY126" i="824"/>
  <c r="AW126" i="824"/>
  <c r="AV126" i="824"/>
  <c r="AU126" i="824"/>
  <c r="AS126" i="824"/>
  <c r="BO125" i="824"/>
  <c r="BN125" i="824"/>
  <c r="BM125" i="824"/>
  <c r="BK125" i="824"/>
  <c r="BG125" i="824"/>
  <c r="BG126" i="824" s="1"/>
  <c r="BG127" i="824" s="1"/>
  <c r="BG128" i="824" s="1"/>
  <c r="BG129" i="824" s="1"/>
  <c r="BG130" i="824" s="1"/>
  <c r="BG131" i="824" s="1"/>
  <c r="BG132" i="824" s="1"/>
  <c r="BG133" i="824" s="1"/>
  <c r="BG134" i="824" s="1"/>
  <c r="BG135" i="824" s="1"/>
  <c r="BG136" i="824" s="1"/>
  <c r="BG137" i="824" s="1"/>
  <c r="BG138" i="824" s="1"/>
  <c r="BG139" i="824" s="1"/>
  <c r="BG140" i="824" s="1"/>
  <c r="BG141" i="824" s="1"/>
  <c r="BG142" i="824" s="1"/>
  <c r="BG143" i="824" s="1"/>
  <c r="BG144" i="824" s="1"/>
  <c r="BG145" i="824" s="1"/>
  <c r="BG146" i="824" s="1"/>
  <c r="BG147" i="824" s="1"/>
  <c r="BG148" i="824" s="1"/>
  <c r="BG149" i="824" s="1"/>
  <c r="BG150" i="824" s="1"/>
  <c r="BG151" i="824" s="1"/>
  <c r="BG152" i="824" s="1"/>
  <c r="BG153" i="824" s="1"/>
  <c r="BG154" i="824" s="1"/>
  <c r="BG155" i="824" s="1"/>
  <c r="BG156" i="824" s="1"/>
  <c r="BG157" i="824" s="1"/>
  <c r="BG158" i="824" s="1"/>
  <c r="BG159" i="824" s="1"/>
  <c r="BG160" i="824" s="1"/>
  <c r="BG161" i="824" s="1"/>
  <c r="BG162" i="824" s="1"/>
  <c r="BG163" i="824" s="1"/>
  <c r="BG164" i="824" s="1"/>
  <c r="BG165" i="824" s="1"/>
  <c r="BG166" i="824" s="1"/>
  <c r="BG167" i="824" s="1"/>
  <c r="BG168" i="824" s="1"/>
  <c r="BG169" i="824" s="1"/>
  <c r="BG170" i="824" s="1"/>
  <c r="BG171" i="824" s="1"/>
  <c r="BG172" i="824" s="1"/>
  <c r="BG173" i="824" s="1"/>
  <c r="BG174" i="824" s="1"/>
  <c r="BG175" i="824" s="1"/>
  <c r="BG176" i="824" s="1"/>
  <c r="BG177" i="824" s="1"/>
  <c r="BG178" i="824" s="1"/>
  <c r="BG179" i="824" s="1"/>
  <c r="BG180" i="824" s="1"/>
  <c r="BG181" i="824" s="1"/>
  <c r="BG182" i="824" s="1"/>
  <c r="BG183" i="824" s="1"/>
  <c r="BG184" i="824" s="1"/>
  <c r="BG185" i="824" s="1"/>
  <c r="BG186" i="824" s="1"/>
  <c r="BG187" i="824" s="1"/>
  <c r="BG188" i="824" s="1"/>
  <c r="BG189" i="824" s="1"/>
  <c r="BG190" i="824" s="1"/>
  <c r="BG191" i="824" s="1"/>
  <c r="BG192" i="824" s="1"/>
  <c r="BG193" i="824" s="1"/>
  <c r="BG194" i="824" s="1"/>
  <c r="BG195" i="824" s="1"/>
  <c r="BG196" i="824" s="1"/>
  <c r="BG197" i="824" s="1"/>
  <c r="BG198" i="824" s="1"/>
  <c r="BG199" i="824" s="1"/>
  <c r="BG200" i="824" s="1"/>
  <c r="BG201" i="824" s="1"/>
  <c r="BG202" i="824" s="1"/>
  <c r="BG203" i="824" s="1"/>
  <c r="BG204" i="824" s="1"/>
  <c r="AW125" i="824"/>
  <c r="AV125" i="824"/>
  <c r="AU125" i="824"/>
  <c r="AS125" i="824"/>
  <c r="AO125" i="824"/>
  <c r="AO126" i="824" s="1"/>
  <c r="AO127" i="824" s="1"/>
  <c r="AO128" i="824" s="1"/>
  <c r="AO129" i="824" s="1"/>
  <c r="AO130" i="824" s="1"/>
  <c r="AO131" i="824" s="1"/>
  <c r="AO132" i="824" s="1"/>
  <c r="AO133" i="824" s="1"/>
  <c r="AO134" i="824" s="1"/>
  <c r="AO135" i="824" s="1"/>
  <c r="AO136" i="824" s="1"/>
  <c r="AO137" i="824" s="1"/>
  <c r="AO138" i="824" s="1"/>
  <c r="AO139" i="824" s="1"/>
  <c r="AO140" i="824" s="1"/>
  <c r="AO141" i="824" s="1"/>
  <c r="AO142" i="824" s="1"/>
  <c r="AO143" i="824" s="1"/>
  <c r="AO144" i="824" s="1"/>
  <c r="AO145" i="824" s="1"/>
  <c r="AO146" i="824" s="1"/>
  <c r="AO147" i="824" s="1"/>
  <c r="AO148" i="824" s="1"/>
  <c r="AO149" i="824" s="1"/>
  <c r="AO150" i="824" s="1"/>
  <c r="AO151" i="824" s="1"/>
  <c r="AO152" i="824" s="1"/>
  <c r="AO153" i="824" s="1"/>
  <c r="AO154" i="824" s="1"/>
  <c r="AO155" i="824" s="1"/>
  <c r="AO156" i="824" s="1"/>
  <c r="AO157" i="824" s="1"/>
  <c r="AO158" i="824" s="1"/>
  <c r="AO159" i="824" s="1"/>
  <c r="AO160" i="824" s="1"/>
  <c r="AO161" i="824" s="1"/>
  <c r="AO162" i="824" s="1"/>
  <c r="AO163" i="824" s="1"/>
  <c r="AO164" i="824" s="1"/>
  <c r="AO165" i="824" s="1"/>
  <c r="AO166" i="824" s="1"/>
  <c r="AO167" i="824" s="1"/>
  <c r="AO168" i="824" s="1"/>
  <c r="AO169" i="824" s="1"/>
  <c r="AO170" i="824" s="1"/>
  <c r="AO171" i="824" s="1"/>
  <c r="AO172" i="824" s="1"/>
  <c r="AO173" i="824" s="1"/>
  <c r="AO174" i="824" s="1"/>
  <c r="AO175" i="824" s="1"/>
  <c r="AO176" i="824" s="1"/>
  <c r="AO177" i="824" s="1"/>
  <c r="AO178" i="824" s="1"/>
  <c r="AO179" i="824" s="1"/>
  <c r="AO180" i="824" s="1"/>
  <c r="AO181" i="824" s="1"/>
  <c r="AO182" i="824" s="1"/>
  <c r="AO183" i="824" s="1"/>
  <c r="AO184" i="824" s="1"/>
  <c r="AO185" i="824" s="1"/>
  <c r="AO186" i="824" s="1"/>
  <c r="AO187" i="824" s="1"/>
  <c r="AO188" i="824" s="1"/>
  <c r="AO189" i="824" s="1"/>
  <c r="AO190" i="824" s="1"/>
  <c r="AO191" i="824" s="1"/>
  <c r="AO192" i="824" s="1"/>
  <c r="AO193" i="824" s="1"/>
  <c r="AO194" i="824" s="1"/>
  <c r="AO195" i="824" s="1"/>
  <c r="AO196" i="824" s="1"/>
  <c r="AO197" i="824" s="1"/>
  <c r="AO198" i="824" s="1"/>
  <c r="AO199" i="824" s="1"/>
  <c r="AO200" i="824" s="1"/>
  <c r="AO201" i="824" s="1"/>
  <c r="AO202" i="824" s="1"/>
  <c r="AO203" i="824" s="1"/>
  <c r="AO204" i="824" s="1"/>
  <c r="BJ121" i="824"/>
  <c r="AR121" i="824"/>
  <c r="BU120" i="824"/>
  <c r="BJ120" i="824"/>
  <c r="BC120" i="824"/>
  <c r="AR120" i="824"/>
  <c r="BJ119" i="824"/>
  <c r="AR119" i="824"/>
  <c r="BO117" i="824"/>
  <c r="AW116" i="824"/>
  <c r="AR116" i="824"/>
  <c r="AR115" i="824"/>
  <c r="AR114" i="824"/>
  <c r="K87" i="824"/>
  <c r="AP204" i="824" s="1"/>
  <c r="J87" i="824"/>
  <c r="I87" i="824"/>
  <c r="J86" i="824"/>
  <c r="I86" i="824"/>
  <c r="J85" i="824"/>
  <c r="I85" i="824"/>
  <c r="J84" i="824"/>
  <c r="I84" i="824"/>
  <c r="J83" i="824"/>
  <c r="I83" i="824"/>
  <c r="J82" i="824"/>
  <c r="I82" i="824"/>
  <c r="J81" i="824"/>
  <c r="I81" i="824"/>
  <c r="J80" i="824"/>
  <c r="I80" i="824"/>
  <c r="K79" i="824"/>
  <c r="AP196" i="824" s="1"/>
  <c r="J79" i="824"/>
  <c r="I79" i="824"/>
  <c r="J78" i="824"/>
  <c r="I78" i="824"/>
  <c r="J77" i="824"/>
  <c r="I77" i="824"/>
  <c r="J76" i="824"/>
  <c r="I76" i="824"/>
  <c r="J75" i="824"/>
  <c r="I75" i="824"/>
  <c r="J74" i="824"/>
  <c r="I74" i="824"/>
  <c r="K73" i="824"/>
  <c r="J73" i="824"/>
  <c r="I73" i="824"/>
  <c r="J72" i="824"/>
  <c r="I72" i="824"/>
  <c r="J71" i="824"/>
  <c r="I71" i="824"/>
  <c r="J70" i="824"/>
  <c r="I70" i="824"/>
  <c r="J69" i="824"/>
  <c r="I69" i="824"/>
  <c r="J68" i="824"/>
  <c r="I68" i="824"/>
  <c r="J67" i="824"/>
  <c r="I67" i="824"/>
  <c r="J66" i="824"/>
  <c r="I66" i="824"/>
  <c r="K65" i="824"/>
  <c r="J65" i="824"/>
  <c r="I65" i="824"/>
  <c r="J64" i="824"/>
  <c r="I64" i="824"/>
  <c r="K63" i="824"/>
  <c r="AP180" i="824" s="1"/>
  <c r="J63" i="824"/>
  <c r="I63" i="824"/>
  <c r="J62" i="824"/>
  <c r="I62" i="824"/>
  <c r="J61" i="824"/>
  <c r="I61" i="824"/>
  <c r="J60" i="824"/>
  <c r="I60" i="824"/>
  <c r="J59" i="824"/>
  <c r="I59" i="824"/>
  <c r="J58" i="824"/>
  <c r="I58" i="824"/>
  <c r="J57" i="824"/>
  <c r="I57" i="824"/>
  <c r="J56" i="824"/>
  <c r="I56" i="824"/>
  <c r="K55" i="824"/>
  <c r="AP172" i="824" s="1"/>
  <c r="J55" i="824"/>
  <c r="I55" i="824"/>
  <c r="J54" i="824"/>
  <c r="I54" i="824"/>
  <c r="J53" i="824"/>
  <c r="I53" i="824"/>
  <c r="J52" i="824"/>
  <c r="I52" i="824"/>
  <c r="J51" i="824"/>
  <c r="I51" i="824"/>
  <c r="J50" i="824"/>
  <c r="I50" i="824"/>
  <c r="K49" i="824"/>
  <c r="J49" i="824"/>
  <c r="I49" i="824"/>
  <c r="J48" i="824"/>
  <c r="I48" i="824"/>
  <c r="J47" i="824"/>
  <c r="I47" i="824"/>
  <c r="J46" i="824"/>
  <c r="I46" i="824"/>
  <c r="J45" i="824"/>
  <c r="I45" i="824"/>
  <c r="J44" i="824"/>
  <c r="I44" i="824"/>
  <c r="J43" i="824"/>
  <c r="I43" i="824"/>
  <c r="J42" i="824"/>
  <c r="I42" i="824"/>
  <c r="K41" i="824"/>
  <c r="J41" i="824"/>
  <c r="I41" i="824"/>
  <c r="J40" i="824"/>
  <c r="I40" i="824"/>
  <c r="K39" i="824"/>
  <c r="AP156" i="824" s="1"/>
  <c r="J39" i="824"/>
  <c r="I39" i="824"/>
  <c r="J38" i="824"/>
  <c r="I38" i="824"/>
  <c r="J37" i="824"/>
  <c r="I37" i="824"/>
  <c r="J36" i="824"/>
  <c r="I36" i="824"/>
  <c r="J35" i="824"/>
  <c r="I35" i="824"/>
  <c r="J34" i="824"/>
  <c r="I34" i="824"/>
  <c r="J33" i="824"/>
  <c r="I33" i="824"/>
  <c r="J32" i="824"/>
  <c r="I32" i="824"/>
  <c r="K31" i="824"/>
  <c r="AP148" i="824" s="1"/>
  <c r="J31" i="824"/>
  <c r="I31" i="824"/>
  <c r="J30" i="824"/>
  <c r="I30" i="824"/>
  <c r="J29" i="824"/>
  <c r="I29" i="824"/>
  <c r="J28" i="824"/>
  <c r="I28" i="824"/>
  <c r="J27" i="824"/>
  <c r="I27" i="824"/>
  <c r="J26" i="824"/>
  <c r="I26" i="824"/>
  <c r="K25" i="824"/>
  <c r="J25" i="824"/>
  <c r="I25" i="824"/>
  <c r="K24" i="824"/>
  <c r="I24" i="824"/>
  <c r="I23" i="824"/>
  <c r="K22" i="824"/>
  <c r="I22" i="824"/>
  <c r="I21" i="824"/>
  <c r="K20" i="824"/>
  <c r="I20" i="824"/>
  <c r="F19" i="824"/>
  <c r="E19" i="824" s="1"/>
  <c r="I19" i="824"/>
  <c r="I18" i="824"/>
  <c r="I17" i="824"/>
  <c r="K16" i="824"/>
  <c r="AP133" i="824" s="1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I8" i="824"/>
  <c r="AB7" i="805"/>
  <c r="U17" i="834" l="1"/>
  <c r="U14" i="834"/>
  <c r="U11" i="834"/>
  <c r="U19" i="834"/>
  <c r="U21" i="834"/>
  <c r="U16" i="834"/>
  <c r="U12" i="834"/>
  <c r="U13" i="834"/>
  <c r="U10" i="834"/>
  <c r="U20" i="834"/>
  <c r="U18" i="834"/>
  <c r="U15" i="834"/>
  <c r="V13" i="834"/>
  <c r="V14" i="834"/>
  <c r="V18" i="834"/>
  <c r="V20" i="834"/>
  <c r="V11" i="834"/>
  <c r="V12" i="834"/>
  <c r="V15" i="834"/>
  <c r="V16" i="834"/>
  <c r="V17" i="834"/>
  <c r="V19" i="834"/>
  <c r="V21" i="834"/>
  <c r="O11" i="834"/>
  <c r="P11" i="834"/>
  <c r="V9" i="834"/>
  <c r="Q11" i="834"/>
  <c r="V10" i="834"/>
  <c r="Q10" i="834"/>
  <c r="P10" i="834"/>
  <c r="P12" i="824"/>
  <c r="P15" i="824"/>
  <c r="P17" i="824"/>
  <c r="P18" i="824"/>
  <c r="P21" i="824"/>
  <c r="P22" i="824"/>
  <c r="P25" i="824"/>
  <c r="P27" i="824"/>
  <c r="P30" i="82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13" i="824"/>
  <c r="P23" i="824"/>
  <c r="P26" i="824"/>
  <c r="P29" i="824"/>
  <c r="P31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20" i="824"/>
  <c r="P60" i="824"/>
  <c r="P66" i="824"/>
  <c r="P75" i="824"/>
  <c r="P80" i="824"/>
  <c r="P16" i="824"/>
  <c r="P59" i="824"/>
  <c r="P82" i="824"/>
  <c r="P87" i="824"/>
  <c r="P14" i="824"/>
  <c r="P55" i="824"/>
  <c r="P63" i="824"/>
  <c r="P65" i="824"/>
  <c r="P69" i="824"/>
  <c r="P73" i="824"/>
  <c r="P86" i="824"/>
  <c r="P54" i="824"/>
  <c r="P78" i="824"/>
  <c r="P85" i="824"/>
  <c r="P11" i="824"/>
  <c r="P19" i="824"/>
  <c r="P24" i="824"/>
  <c r="P28" i="824"/>
  <c r="P32" i="824"/>
  <c r="P35" i="824"/>
  <c r="P38" i="824"/>
  <c r="P41" i="824"/>
  <c r="P47" i="824"/>
  <c r="P50" i="824"/>
  <c r="P53" i="824"/>
  <c r="P58" i="824"/>
  <c r="P67" i="824"/>
  <c r="P71" i="824"/>
  <c r="P74" i="824"/>
  <c r="P83" i="824"/>
  <c r="Y4" i="824"/>
  <c r="X8" i="824"/>
  <c r="K18" i="824"/>
  <c r="AP135" i="824" s="1"/>
  <c r="U9" i="825"/>
  <c r="U8" i="825"/>
  <c r="Y8" i="825" s="1"/>
  <c r="BV127" i="825"/>
  <c r="BZ127" i="825" s="1"/>
  <c r="BD127" i="825"/>
  <c r="BH127" i="825" s="1"/>
  <c r="K23" i="824"/>
  <c r="AP140" i="824" s="1"/>
  <c r="K53" i="824"/>
  <c r="AP170" i="824" s="1"/>
  <c r="K67" i="824"/>
  <c r="AP184" i="824" s="1"/>
  <c r="K35" i="824"/>
  <c r="AP152" i="824" s="1"/>
  <c r="K85" i="824"/>
  <c r="AP202" i="824" s="1"/>
  <c r="K47" i="824"/>
  <c r="AP164" i="824" s="1"/>
  <c r="K37" i="824"/>
  <c r="AP154" i="824" s="1"/>
  <c r="K36" i="824"/>
  <c r="AP153" i="824" s="1"/>
  <c r="K80" i="824"/>
  <c r="AP197" i="824" s="1"/>
  <c r="K59" i="824"/>
  <c r="AP176" i="824" s="1"/>
  <c r="K81" i="824"/>
  <c r="AP198" i="824" s="1"/>
  <c r="K71" i="824"/>
  <c r="AP188" i="824" s="1"/>
  <c r="K27" i="824"/>
  <c r="AP144" i="824" s="1"/>
  <c r="K33" i="824"/>
  <c r="AP150" i="824" s="1"/>
  <c r="K61" i="824"/>
  <c r="AP178" i="824" s="1"/>
  <c r="K83" i="824"/>
  <c r="AP200" i="824" s="1"/>
  <c r="K75" i="824"/>
  <c r="AP192" i="824" s="1"/>
  <c r="K48" i="824"/>
  <c r="AP165" i="824" s="1"/>
  <c r="K43" i="824"/>
  <c r="AP160" i="824" s="1"/>
  <c r="K29" i="824"/>
  <c r="AP146" i="824" s="1"/>
  <c r="K51" i="824"/>
  <c r="AP168" i="824" s="1"/>
  <c r="BH168" i="824"/>
  <c r="BH152" i="824"/>
  <c r="K57" i="824"/>
  <c r="AP174" i="824" s="1"/>
  <c r="K77" i="824"/>
  <c r="AP194" i="824" s="1"/>
  <c r="K45" i="824"/>
  <c r="AP162" i="824" s="1"/>
  <c r="K69" i="824"/>
  <c r="AP186" i="824" s="1"/>
  <c r="BH197" i="824"/>
  <c r="BH140" i="824"/>
  <c r="BH165" i="824"/>
  <c r="BH135" i="824"/>
  <c r="BH153" i="824"/>
  <c r="BH156" i="824"/>
  <c r="BH188" i="824"/>
  <c r="BH196" i="824"/>
  <c r="BH176" i="824"/>
  <c r="K19" i="824"/>
  <c r="BH204" i="824"/>
  <c r="AP141" i="824"/>
  <c r="BH141" i="824"/>
  <c r="K28" i="824"/>
  <c r="K32" i="824"/>
  <c r="K40" i="824"/>
  <c r="K44" i="824"/>
  <c r="K52" i="824"/>
  <c r="K56" i="824"/>
  <c r="K60" i="824"/>
  <c r="K64" i="824"/>
  <c r="K68" i="824"/>
  <c r="K72" i="824"/>
  <c r="K76" i="824"/>
  <c r="K84" i="824"/>
  <c r="BH184" i="824"/>
  <c r="K12" i="824"/>
  <c r="AP129" i="824" s="1"/>
  <c r="BH164" i="824"/>
  <c r="AP139" i="824"/>
  <c r="BH139" i="824"/>
  <c r="BH144" i="824"/>
  <c r="BH192" i="824"/>
  <c r="AP137" i="824"/>
  <c r="BH137" i="824"/>
  <c r="AP142" i="824"/>
  <c r="BH142" i="824"/>
  <c r="BH146" i="824"/>
  <c r="BH154" i="824"/>
  <c r="AP166" i="824"/>
  <c r="BH166" i="824"/>
  <c r="BH170" i="824"/>
  <c r="BH174" i="824"/>
  <c r="BH178" i="824"/>
  <c r="AP182" i="824"/>
  <c r="BH182" i="824"/>
  <c r="BH186" i="824"/>
  <c r="AP190" i="824"/>
  <c r="BH190" i="824"/>
  <c r="BH194" i="824"/>
  <c r="BH198" i="824"/>
  <c r="BH202" i="824"/>
  <c r="BH172" i="824"/>
  <c r="BH150" i="824"/>
  <c r="BH200" i="824"/>
  <c r="K21" i="824"/>
  <c r="BH160" i="824"/>
  <c r="BH180" i="824"/>
  <c r="AP158" i="824"/>
  <c r="BH158" i="824"/>
  <c r="K26" i="824"/>
  <c r="K30" i="824"/>
  <c r="K34" i="824"/>
  <c r="K38" i="824"/>
  <c r="K42" i="824"/>
  <c r="K46" i="824"/>
  <c r="K50" i="824"/>
  <c r="K54" i="824"/>
  <c r="K58" i="824"/>
  <c r="K62" i="824"/>
  <c r="K66" i="824"/>
  <c r="K70" i="824"/>
  <c r="K74" i="824"/>
  <c r="K78" i="824"/>
  <c r="K82" i="824"/>
  <c r="K86" i="824"/>
  <c r="BH148" i="824"/>
  <c r="K11" i="824"/>
  <c r="K15" i="824"/>
  <c r="K9" i="824"/>
  <c r="K13" i="824"/>
  <c r="K17" i="824"/>
  <c r="BH129" i="824"/>
  <c r="BH133" i="824"/>
  <c r="K10" i="824"/>
  <c r="K14" i="824"/>
  <c r="BU134" i="824"/>
  <c r="BC202" i="824"/>
  <c r="BC204" i="824"/>
  <c r="BR141" i="824"/>
  <c r="BC161" i="824"/>
  <c r="BC141" i="824"/>
  <c r="AD8" i="824"/>
  <c r="AX129" i="824"/>
  <c r="BU158" i="824"/>
  <c r="BU204" i="824"/>
  <c r="BC146" i="824"/>
  <c r="K8" i="824"/>
  <c r="BH125" i="824" s="1"/>
  <c r="BU138" i="824"/>
  <c r="BC147" i="824"/>
  <c r="BR147" i="824"/>
  <c r="BC138" i="824"/>
  <c r="AZ158" i="824"/>
  <c r="AX141" i="824"/>
  <c r="AX138" i="824"/>
  <c r="BC158" i="824"/>
  <c r="BU132" i="824"/>
  <c r="AZ138" i="824"/>
  <c r="BC129" i="824"/>
  <c r="AZ145" i="824"/>
  <c r="BU147" i="824"/>
  <c r="BU153" i="824"/>
  <c r="BR143" i="824"/>
  <c r="BP145" i="824"/>
  <c r="AX147" i="824"/>
  <c r="AZ162" i="824"/>
  <c r="BU202" i="824"/>
  <c r="BC126" i="824"/>
  <c r="BC132" i="824"/>
  <c r="BP132" i="824"/>
  <c r="BR161" i="824"/>
  <c r="BU203" i="824"/>
  <c r="BU129" i="824"/>
  <c r="AX132" i="824"/>
  <c r="BU139" i="824"/>
  <c r="BU140" i="824"/>
  <c r="BU141" i="824"/>
  <c r="BU150" i="824"/>
  <c r="AZ151" i="824"/>
  <c r="AZ140" i="824"/>
  <c r="AZ132" i="824"/>
  <c r="AX135" i="824"/>
  <c r="BP144" i="824"/>
  <c r="BP156" i="824"/>
  <c r="BP139" i="824"/>
  <c r="BC140" i="824"/>
  <c r="BP150" i="824"/>
  <c r="BR139" i="824"/>
  <c r="AX162" i="824"/>
  <c r="BC131" i="824"/>
  <c r="BR137" i="824"/>
  <c r="AX153" i="824"/>
  <c r="AZ156" i="824"/>
  <c r="BR145" i="824"/>
  <c r="BC150" i="824"/>
  <c r="AX156" i="824"/>
  <c r="BU157" i="824"/>
  <c r="BU133" i="824"/>
  <c r="BC137" i="824"/>
  <c r="AZ134" i="824"/>
  <c r="BC144" i="824"/>
  <c r="AX150" i="824"/>
  <c r="BP157" i="824"/>
  <c r="BC159" i="824"/>
  <c r="BU151" i="824"/>
  <c r="BU152" i="824"/>
  <c r="BR159" i="824"/>
  <c r="BU126" i="824"/>
  <c r="BU127" i="824"/>
  <c r="BU128" i="824"/>
  <c r="BP133" i="824"/>
  <c r="BC134" i="824"/>
  <c r="BC135" i="824"/>
  <c r="AZ139" i="824"/>
  <c r="AZ150" i="824"/>
  <c r="AZ152" i="824"/>
  <c r="BC155" i="824"/>
  <c r="BR155" i="824"/>
  <c r="BR157" i="824"/>
  <c r="BC162" i="824"/>
  <c r="BC203" i="824"/>
  <c r="AZ128" i="824"/>
  <c r="BR131" i="824"/>
  <c r="BR135" i="824"/>
  <c r="AX144" i="824"/>
  <c r="AX159" i="824"/>
  <c r="BU159" i="824"/>
  <c r="BP162" i="824"/>
  <c r="BR133" i="824"/>
  <c r="BP138" i="824"/>
  <c r="BU144" i="824"/>
  <c r="BU145" i="824"/>
  <c r="BU146" i="824"/>
  <c r="BP151" i="824"/>
  <c r="BC152" i="824"/>
  <c r="BC153" i="824"/>
  <c r="AZ157" i="824"/>
  <c r="BU201" i="824"/>
  <c r="BC128" i="824"/>
  <c r="BU135" i="824"/>
  <c r="AZ144" i="824"/>
  <c r="AZ146" i="824"/>
  <c r="BR149" i="824"/>
  <c r="BR153" i="824"/>
  <c r="V8" i="824"/>
  <c r="BR129" i="824"/>
  <c r="AZ133" i="824"/>
  <c r="BR151" i="824"/>
  <c r="BC156" i="824"/>
  <c r="BB130" i="824"/>
  <c r="BC130" i="824"/>
  <c r="AZ130" i="824"/>
  <c r="AX130" i="824"/>
  <c r="BB154" i="824"/>
  <c r="BC154" i="824"/>
  <c r="AZ154" i="824"/>
  <c r="AX154" i="824"/>
  <c r="BU165" i="824"/>
  <c r="BT165" i="824"/>
  <c r="BP165" i="824"/>
  <c r="BR165" i="824"/>
  <c r="BC167" i="824"/>
  <c r="BB167" i="824"/>
  <c r="AX167" i="824"/>
  <c r="AZ167" i="824"/>
  <c r="BT148" i="824"/>
  <c r="BU148" i="824"/>
  <c r="BR148" i="824"/>
  <c r="BP148" i="824"/>
  <c r="BT142" i="824"/>
  <c r="BU142" i="824"/>
  <c r="BR142" i="824"/>
  <c r="BP142" i="824"/>
  <c r="BB148" i="824"/>
  <c r="BC148" i="824"/>
  <c r="AZ148" i="824"/>
  <c r="AX148" i="824"/>
  <c r="BU188" i="824"/>
  <c r="BT188" i="824"/>
  <c r="BR188" i="824"/>
  <c r="BP188" i="824"/>
  <c r="BT160" i="824"/>
  <c r="BU160" i="824"/>
  <c r="BR160" i="824"/>
  <c r="BP160" i="824"/>
  <c r="BC187" i="824"/>
  <c r="BB187" i="824"/>
  <c r="AZ187" i="824"/>
  <c r="AX187" i="824"/>
  <c r="BT136" i="824"/>
  <c r="BU136" i="824"/>
  <c r="BR136" i="824"/>
  <c r="BP136" i="824"/>
  <c r="BB142" i="824"/>
  <c r="BC142" i="824"/>
  <c r="AZ142" i="824"/>
  <c r="AX142" i="824"/>
  <c r="BU121" i="824"/>
  <c r="BC121" i="824"/>
  <c r="BT130" i="824"/>
  <c r="BU130" i="824"/>
  <c r="BR130" i="824"/>
  <c r="BP130" i="824"/>
  <c r="BT154" i="824"/>
  <c r="BU154" i="824"/>
  <c r="BR154" i="824"/>
  <c r="BP154" i="824"/>
  <c r="BB160" i="824"/>
  <c r="BC160" i="824"/>
  <c r="AZ160" i="824"/>
  <c r="AX160" i="824"/>
  <c r="BB136" i="824"/>
  <c r="BC136" i="824"/>
  <c r="AZ136" i="824"/>
  <c r="AX136" i="824"/>
  <c r="BU173" i="824"/>
  <c r="BT173" i="824"/>
  <c r="BP173" i="824"/>
  <c r="BR173" i="824"/>
  <c r="AX133" i="824"/>
  <c r="AX139" i="824"/>
  <c r="AX145" i="824"/>
  <c r="AX151" i="824"/>
  <c r="AX157" i="824"/>
  <c r="BC164" i="824"/>
  <c r="BB164" i="824"/>
  <c r="AX164" i="824"/>
  <c r="BU170" i="824"/>
  <c r="BT170" i="824"/>
  <c r="BP170" i="824"/>
  <c r="BR170" i="824"/>
  <c r="BP131" i="824"/>
  <c r="BR132" i="824"/>
  <c r="BP137" i="824"/>
  <c r="BR138" i="824"/>
  <c r="BP143" i="824"/>
  <c r="BR144" i="824"/>
  <c r="BP149" i="824"/>
  <c r="BR150" i="824"/>
  <c r="BP155" i="824"/>
  <c r="BR156" i="824"/>
  <c r="BP161" i="824"/>
  <c r="BR162" i="824"/>
  <c r="BU168" i="824"/>
  <c r="BT168" i="824"/>
  <c r="BP168" i="824"/>
  <c r="BR168" i="824"/>
  <c r="BC170" i="824"/>
  <c r="BB170" i="824"/>
  <c r="AX170" i="824"/>
  <c r="BU176" i="824"/>
  <c r="BT176" i="824"/>
  <c r="BP176" i="824"/>
  <c r="BR176" i="824"/>
  <c r="BU179" i="824"/>
  <c r="BT179" i="824"/>
  <c r="BP179" i="824"/>
  <c r="BR179" i="824"/>
  <c r="BU182" i="824"/>
  <c r="BT182" i="824"/>
  <c r="BP182" i="824"/>
  <c r="BR182" i="824"/>
  <c r="BU185" i="824"/>
  <c r="BT185" i="824"/>
  <c r="BR185" i="824"/>
  <c r="BP185" i="824"/>
  <c r="BC127" i="824"/>
  <c r="AX131" i="824"/>
  <c r="BC133" i="824"/>
  <c r="AX137" i="824"/>
  <c r="BC139" i="824"/>
  <c r="AX143" i="824"/>
  <c r="BC145" i="824"/>
  <c r="AX149" i="824"/>
  <c r="BC151" i="824"/>
  <c r="AX155" i="824"/>
  <c r="BC157" i="824"/>
  <c r="AX161" i="824"/>
  <c r="BU163" i="824"/>
  <c r="BT163" i="824"/>
  <c r="BP163" i="824"/>
  <c r="BU171" i="824"/>
  <c r="BT171" i="824"/>
  <c r="BP171" i="824"/>
  <c r="BU156" i="824"/>
  <c r="BU162" i="824"/>
  <c r="BC165" i="824"/>
  <c r="BB165" i="824"/>
  <c r="AX165" i="824"/>
  <c r="AZ165" i="824"/>
  <c r="BC173" i="824"/>
  <c r="BB173" i="824"/>
  <c r="AX173" i="824"/>
  <c r="AZ173" i="824"/>
  <c r="AZ131" i="824"/>
  <c r="AZ137" i="824"/>
  <c r="AZ143" i="824"/>
  <c r="AZ149" i="824"/>
  <c r="AZ155" i="824"/>
  <c r="AZ161" i="824"/>
  <c r="BU166" i="824"/>
  <c r="BT166" i="824"/>
  <c r="BP166" i="824"/>
  <c r="BR166" i="824"/>
  <c r="BC168" i="824"/>
  <c r="BB168" i="824"/>
  <c r="AX168" i="824"/>
  <c r="BU174" i="824"/>
  <c r="BT174" i="824"/>
  <c r="BP174" i="824"/>
  <c r="BR174" i="824"/>
  <c r="BP129" i="824"/>
  <c r="BU131" i="824"/>
  <c r="BP135" i="824"/>
  <c r="BU137" i="824"/>
  <c r="BP141" i="824"/>
  <c r="BU143" i="824"/>
  <c r="BP147" i="824"/>
  <c r="BU149" i="824"/>
  <c r="BP153" i="824"/>
  <c r="BU155" i="824"/>
  <c r="BP159" i="824"/>
  <c r="BU161" i="824"/>
  <c r="BU169" i="824"/>
  <c r="BT169" i="824"/>
  <c r="BP169" i="824"/>
  <c r="BU177" i="824"/>
  <c r="BT177" i="824"/>
  <c r="BP177" i="824"/>
  <c r="BR177" i="824"/>
  <c r="BU180" i="824"/>
  <c r="BT180" i="824"/>
  <c r="BP180" i="824"/>
  <c r="BR180" i="824"/>
  <c r="BU183" i="824"/>
  <c r="BT183" i="824"/>
  <c r="BP183" i="824"/>
  <c r="BR183" i="824"/>
  <c r="BC143" i="824"/>
  <c r="BC149" i="824"/>
  <c r="BC163" i="824"/>
  <c r="BB163" i="824"/>
  <c r="AX163" i="824"/>
  <c r="AZ163" i="824"/>
  <c r="BC171" i="824"/>
  <c r="BB171" i="824"/>
  <c r="AX171" i="824"/>
  <c r="AZ171" i="824"/>
  <c r="BC189" i="824"/>
  <c r="BB189" i="824"/>
  <c r="AZ189" i="824"/>
  <c r="AX189" i="824"/>
  <c r="BP128" i="824"/>
  <c r="BP134" i="824"/>
  <c r="BP140" i="824"/>
  <c r="BP146" i="824"/>
  <c r="BP152" i="824"/>
  <c r="BP158" i="824"/>
  <c r="BU164" i="824"/>
  <c r="BT164" i="824"/>
  <c r="BP164" i="824"/>
  <c r="BR164" i="824"/>
  <c r="BC166" i="824"/>
  <c r="BB166" i="824"/>
  <c r="AX166" i="824"/>
  <c r="BU172" i="824"/>
  <c r="BT172" i="824"/>
  <c r="BP172" i="824"/>
  <c r="BR172" i="824"/>
  <c r="BU187" i="824"/>
  <c r="BT187" i="824"/>
  <c r="BR187" i="824"/>
  <c r="BP187" i="824"/>
  <c r="AX128" i="824"/>
  <c r="AZ129" i="824"/>
  <c r="AX134" i="824"/>
  <c r="AZ135" i="824"/>
  <c r="AX140" i="824"/>
  <c r="AZ141" i="824"/>
  <c r="AX146" i="824"/>
  <c r="AZ147" i="824"/>
  <c r="AX152" i="824"/>
  <c r="AZ153" i="824"/>
  <c r="AX158" i="824"/>
  <c r="AZ159" i="824"/>
  <c r="BU167" i="824"/>
  <c r="BT167" i="824"/>
  <c r="BP167" i="824"/>
  <c r="BU175" i="824"/>
  <c r="BT175" i="824"/>
  <c r="BP175" i="824"/>
  <c r="BC186" i="824"/>
  <c r="BB186" i="824"/>
  <c r="AZ186" i="824"/>
  <c r="AX186" i="824"/>
  <c r="BR128" i="824"/>
  <c r="BR134" i="824"/>
  <c r="BR140" i="824"/>
  <c r="BR146" i="824"/>
  <c r="BR152" i="824"/>
  <c r="BR158" i="824"/>
  <c r="BC169" i="824"/>
  <c r="BB169" i="824"/>
  <c r="AX169" i="824"/>
  <c r="AZ169" i="824"/>
  <c r="BU178" i="824"/>
  <c r="BT178" i="824"/>
  <c r="BP178" i="824"/>
  <c r="BR178" i="824"/>
  <c r="BU181" i="824"/>
  <c r="BT181" i="824"/>
  <c r="BP181" i="824"/>
  <c r="BR181" i="824"/>
  <c r="BU184" i="824"/>
  <c r="BT184" i="824"/>
  <c r="BR184" i="824"/>
  <c r="BP184" i="824"/>
  <c r="BC185" i="824"/>
  <c r="BB185" i="824"/>
  <c r="AZ185" i="824"/>
  <c r="AX185" i="824"/>
  <c r="BU186" i="824"/>
  <c r="BT186" i="824"/>
  <c r="BR186" i="824"/>
  <c r="BP186" i="824"/>
  <c r="BC188" i="824"/>
  <c r="BB188" i="824"/>
  <c r="AZ188" i="824"/>
  <c r="AX188" i="824"/>
  <c r="BU189" i="824"/>
  <c r="BT189" i="824"/>
  <c r="BR189" i="824"/>
  <c r="BP189" i="824"/>
  <c r="BC191" i="824"/>
  <c r="BB191" i="824"/>
  <c r="AZ191" i="824"/>
  <c r="AX191" i="824"/>
  <c r="BU192" i="824"/>
  <c r="BT192" i="824"/>
  <c r="BR192" i="824"/>
  <c r="BP192" i="824"/>
  <c r="BC194" i="824"/>
  <c r="BB194" i="824"/>
  <c r="AZ194" i="824"/>
  <c r="AX194" i="824"/>
  <c r="BU195" i="824"/>
  <c r="BT195" i="824"/>
  <c r="BR195" i="824"/>
  <c r="BP195" i="824"/>
  <c r="BC197" i="824"/>
  <c r="BB197" i="824"/>
  <c r="AZ197" i="824"/>
  <c r="AX197" i="824"/>
  <c r="BU198" i="824"/>
  <c r="BT198" i="824"/>
  <c r="BR198" i="824"/>
  <c r="BP198" i="824"/>
  <c r="BC200" i="824"/>
  <c r="BB200" i="824"/>
  <c r="AZ200" i="824"/>
  <c r="AX200" i="824"/>
  <c r="BC175" i="824"/>
  <c r="BB175" i="824"/>
  <c r="AX175" i="824"/>
  <c r="BC177" i="824"/>
  <c r="BB177" i="824"/>
  <c r="AX177" i="824"/>
  <c r="BC179" i="824"/>
  <c r="BB179" i="824"/>
  <c r="AX179" i="824"/>
  <c r="BC181" i="824"/>
  <c r="BB181" i="824"/>
  <c r="AX181" i="824"/>
  <c r="BC183" i="824"/>
  <c r="BB183" i="824"/>
  <c r="AX183" i="824"/>
  <c r="BU190" i="824"/>
  <c r="BT190" i="824"/>
  <c r="BR190" i="824"/>
  <c r="BP190" i="824"/>
  <c r="BC192" i="824"/>
  <c r="BB192" i="824"/>
  <c r="AZ192" i="824"/>
  <c r="AX192" i="824"/>
  <c r="BU193" i="824"/>
  <c r="BT193" i="824"/>
  <c r="BR193" i="824"/>
  <c r="BP193" i="824"/>
  <c r="BC195" i="824"/>
  <c r="BB195" i="824"/>
  <c r="AZ195" i="824"/>
  <c r="AX195" i="824"/>
  <c r="BU196" i="824"/>
  <c r="BT196" i="824"/>
  <c r="BR196" i="824"/>
  <c r="BP196" i="824"/>
  <c r="BC198" i="824"/>
  <c r="BB198" i="824"/>
  <c r="AZ198" i="824"/>
  <c r="AX198" i="824"/>
  <c r="BU199" i="824"/>
  <c r="BT199" i="824"/>
  <c r="BR199" i="824"/>
  <c r="BP199" i="824"/>
  <c r="BC201" i="824"/>
  <c r="BB201" i="824"/>
  <c r="AZ201" i="824"/>
  <c r="AX201" i="824"/>
  <c r="AZ175" i="824"/>
  <c r="AZ177" i="824"/>
  <c r="AZ179" i="824"/>
  <c r="AZ181" i="824"/>
  <c r="AZ183" i="824"/>
  <c r="BC172" i="824"/>
  <c r="BB172" i="824"/>
  <c r="AX172" i="824"/>
  <c r="BC174" i="824"/>
  <c r="BB174" i="824"/>
  <c r="AX174" i="824"/>
  <c r="BC176" i="824"/>
  <c r="BB176" i="824"/>
  <c r="AX176" i="824"/>
  <c r="BC178" i="824"/>
  <c r="BB178" i="824"/>
  <c r="AX178" i="824"/>
  <c r="BC180" i="824"/>
  <c r="BB180" i="824"/>
  <c r="AX180" i="824"/>
  <c r="BC182" i="824"/>
  <c r="BB182" i="824"/>
  <c r="AX182" i="824"/>
  <c r="BC184" i="824"/>
  <c r="BB184" i="824"/>
  <c r="AX184" i="824"/>
  <c r="BC190" i="824"/>
  <c r="BB190" i="824"/>
  <c r="AZ190" i="824"/>
  <c r="AX190" i="824"/>
  <c r="BU191" i="824"/>
  <c r="BT191" i="824"/>
  <c r="BR191" i="824"/>
  <c r="BP191" i="824"/>
  <c r="BC193" i="824"/>
  <c r="BB193" i="824"/>
  <c r="AZ193" i="824"/>
  <c r="AX193" i="824"/>
  <c r="BU194" i="824"/>
  <c r="BT194" i="824"/>
  <c r="BR194" i="824"/>
  <c r="BP194" i="824"/>
  <c r="BC196" i="824"/>
  <c r="BB196" i="824"/>
  <c r="AZ196" i="824"/>
  <c r="AX196" i="824"/>
  <c r="BU197" i="824"/>
  <c r="BT197" i="824"/>
  <c r="BR197" i="824"/>
  <c r="BP197" i="824"/>
  <c r="BC199" i="824"/>
  <c r="BB199" i="824"/>
  <c r="AZ199" i="824"/>
  <c r="AX199" i="824"/>
  <c r="BU200" i="824"/>
  <c r="BT200" i="824"/>
  <c r="BR200" i="824"/>
  <c r="BP200" i="824"/>
  <c r="BP201" i="824"/>
  <c r="AX202" i="824"/>
  <c r="BP202" i="824"/>
  <c r="AX203" i="824"/>
  <c r="BP203" i="824"/>
  <c r="AX204" i="824"/>
  <c r="BP204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S10" i="124"/>
  <c r="E10" i="805"/>
  <c r="S9" i="124"/>
  <c r="S8" i="124"/>
  <c r="W11" i="834" l="1"/>
  <c r="U8" i="824" a="1"/>
  <c r="P8" i="824" s="1"/>
  <c r="AI8" i="824"/>
  <c r="AE8" i="824" s="1"/>
  <c r="W10" i="834"/>
  <c r="O10" i="834"/>
  <c r="AF8" i="824"/>
  <c r="BV126" i="825"/>
  <c r="BZ126" i="825" s="1"/>
  <c r="Y9" i="825"/>
  <c r="Y88" i="825" s="1"/>
  <c r="Y90" i="825" s="1"/>
  <c r="Y92" i="825" s="1"/>
  <c r="BD126" i="825"/>
  <c r="BH126" i="825" s="1"/>
  <c r="BD125" i="825"/>
  <c r="BH125" i="825" s="1"/>
  <c r="AB88" i="825"/>
  <c r="BV125" i="825"/>
  <c r="BZ125" i="825" s="1"/>
  <c r="BH162" i="824"/>
  <c r="BA192" i="824"/>
  <c r="BS192" i="824"/>
  <c r="BA163" i="824"/>
  <c r="BS163" i="824"/>
  <c r="BS140" i="824"/>
  <c r="BA140" i="824"/>
  <c r="BS149" i="824"/>
  <c r="BA149" i="824"/>
  <c r="BA195" i="824"/>
  <c r="BS195" i="824"/>
  <c r="BA172" i="824"/>
  <c r="BS172" i="824"/>
  <c r="AP191" i="824"/>
  <c r="BH191" i="824"/>
  <c r="AP143" i="824"/>
  <c r="BH143" i="824"/>
  <c r="AP138" i="824"/>
  <c r="BH138" i="824"/>
  <c r="AP201" i="824"/>
  <c r="BH201" i="824"/>
  <c r="BS160" i="824"/>
  <c r="BA160" i="824"/>
  <c r="AP149" i="824"/>
  <c r="BH149" i="824"/>
  <c r="BS157" i="824"/>
  <c r="BA157" i="824"/>
  <c r="BA198" i="824"/>
  <c r="BS198" i="824"/>
  <c r="BS169" i="824"/>
  <c r="BA169" i="824"/>
  <c r="BA146" i="824"/>
  <c r="BS146" i="824"/>
  <c r="BS201" i="824"/>
  <c r="BA201" i="824"/>
  <c r="BA178" i="824"/>
  <c r="BS178" i="824"/>
  <c r="AP187" i="824"/>
  <c r="BH187" i="824"/>
  <c r="AP193" i="824"/>
  <c r="BH193" i="824"/>
  <c r="BA180" i="824"/>
  <c r="BS180" i="824"/>
  <c r="AP147" i="824"/>
  <c r="BH147" i="824"/>
  <c r="BA204" i="824"/>
  <c r="BS204" i="824"/>
  <c r="BA175" i="824"/>
  <c r="BS175" i="824"/>
  <c r="BS152" i="824"/>
  <c r="BA152" i="824"/>
  <c r="BS135" i="824"/>
  <c r="BA135" i="824"/>
  <c r="BS155" i="824"/>
  <c r="BA155" i="824"/>
  <c r="BA184" i="824"/>
  <c r="BS184" i="824"/>
  <c r="AP183" i="824"/>
  <c r="BH183" i="824"/>
  <c r="AP189" i="824"/>
  <c r="BH189" i="824"/>
  <c r="AP151" i="824"/>
  <c r="BH151" i="824"/>
  <c r="BS161" i="824"/>
  <c r="BA161" i="824"/>
  <c r="BA138" i="824"/>
  <c r="BS138" i="824"/>
  <c r="BA167" i="824"/>
  <c r="BS167" i="824"/>
  <c r="BS181" i="824"/>
  <c r="BA181" i="824"/>
  <c r="BA158" i="824"/>
  <c r="BS158" i="824"/>
  <c r="BS141" i="824"/>
  <c r="BA141" i="824"/>
  <c r="BA203" i="824"/>
  <c r="BS203" i="824"/>
  <c r="BA190" i="824"/>
  <c r="BS190" i="824"/>
  <c r="AP179" i="824"/>
  <c r="BH179" i="824"/>
  <c r="AP185" i="824"/>
  <c r="BH185" i="824"/>
  <c r="AP199" i="824"/>
  <c r="BH199" i="824"/>
  <c r="BA166" i="824"/>
  <c r="BS166" i="824"/>
  <c r="AP195" i="824"/>
  <c r="BH195" i="824"/>
  <c r="BS144" i="824"/>
  <c r="BA144" i="824"/>
  <c r="BS197" i="824"/>
  <c r="BA197" i="824"/>
  <c r="BA187" i="824"/>
  <c r="BS187" i="824"/>
  <c r="BA164" i="824"/>
  <c r="BS164" i="824"/>
  <c r="BS147" i="824"/>
  <c r="BA147" i="824"/>
  <c r="BS143" i="824"/>
  <c r="BA143" i="824"/>
  <c r="BA196" i="824"/>
  <c r="BS196" i="824"/>
  <c r="AP175" i="824"/>
  <c r="BH175" i="824"/>
  <c r="AP181" i="824"/>
  <c r="BH181" i="824"/>
  <c r="BA183" i="824"/>
  <c r="BS183" i="824"/>
  <c r="BA186" i="824"/>
  <c r="BS186" i="824"/>
  <c r="BS189" i="824"/>
  <c r="BA189" i="824"/>
  <c r="AP145" i="824"/>
  <c r="BH145" i="824"/>
  <c r="BA150" i="824"/>
  <c r="BS150" i="824"/>
  <c r="BS173" i="824"/>
  <c r="BA173" i="824"/>
  <c r="BS193" i="824"/>
  <c r="BA193" i="824"/>
  <c r="BA170" i="824"/>
  <c r="BS170" i="824"/>
  <c r="BS153" i="824"/>
  <c r="BA153" i="824"/>
  <c r="BA202" i="824"/>
  <c r="BS202" i="824"/>
  <c r="AP171" i="824"/>
  <c r="BH171" i="824"/>
  <c r="AP177" i="824"/>
  <c r="BH177" i="824"/>
  <c r="AP167" i="824"/>
  <c r="BH167" i="824"/>
  <c r="AP173" i="824"/>
  <c r="BH173" i="824"/>
  <c r="AP169" i="824"/>
  <c r="BH169" i="824"/>
  <c r="BS151" i="824"/>
  <c r="BA151" i="824"/>
  <c r="BA176" i="824"/>
  <c r="BS176" i="824"/>
  <c r="BS136" i="824"/>
  <c r="BA136" i="824"/>
  <c r="BA162" i="824"/>
  <c r="BS162" i="824"/>
  <c r="BA179" i="824"/>
  <c r="BS179" i="824"/>
  <c r="BS165" i="824"/>
  <c r="BA165" i="824"/>
  <c r="AP163" i="824"/>
  <c r="BH163" i="824"/>
  <c r="BA168" i="824"/>
  <c r="BS168" i="824"/>
  <c r="BS139" i="824"/>
  <c r="BA139" i="824"/>
  <c r="BA191" i="824"/>
  <c r="BS191" i="824"/>
  <c r="BA188" i="824"/>
  <c r="BS188" i="824"/>
  <c r="BA171" i="824"/>
  <c r="BS171" i="824"/>
  <c r="BS148" i="824"/>
  <c r="BA148" i="824"/>
  <c r="AP159" i="824"/>
  <c r="BH159" i="824"/>
  <c r="AP161" i="824"/>
  <c r="BH161" i="824"/>
  <c r="AP136" i="824"/>
  <c r="BH136" i="824"/>
  <c r="BA200" i="824"/>
  <c r="BS200" i="824"/>
  <c r="BS156" i="824"/>
  <c r="BA156" i="824"/>
  <c r="BA199" i="824"/>
  <c r="BS199" i="824"/>
  <c r="BA159" i="824"/>
  <c r="BS159" i="824"/>
  <c r="BS137" i="824"/>
  <c r="BA137" i="824"/>
  <c r="BA182" i="824"/>
  <c r="BS182" i="824"/>
  <c r="BA142" i="824"/>
  <c r="BS142" i="824"/>
  <c r="BA174" i="824"/>
  <c r="BS174" i="824"/>
  <c r="BS145" i="824"/>
  <c r="BA145" i="824"/>
  <c r="BS185" i="824"/>
  <c r="BA185" i="824"/>
  <c r="BA194" i="824"/>
  <c r="BS194" i="824"/>
  <c r="BS177" i="824"/>
  <c r="BA177" i="824"/>
  <c r="BA154" i="824"/>
  <c r="BS154" i="824"/>
  <c r="AP203" i="824"/>
  <c r="BH203" i="824"/>
  <c r="AP155" i="824"/>
  <c r="BH155" i="824"/>
  <c r="AP157" i="824"/>
  <c r="BH157" i="824"/>
  <c r="BA133" i="824"/>
  <c r="BS133" i="824"/>
  <c r="BS134" i="824"/>
  <c r="BA134" i="824"/>
  <c r="AP127" i="824"/>
  <c r="BH127" i="824"/>
  <c r="AP131" i="824"/>
  <c r="BH131" i="824"/>
  <c r="BA129" i="824"/>
  <c r="BS129" i="824"/>
  <c r="BS128" i="824"/>
  <c r="BA128" i="824"/>
  <c r="BS132" i="824"/>
  <c r="BA132" i="824"/>
  <c r="AP134" i="824"/>
  <c r="BH134" i="824"/>
  <c r="AP130" i="824"/>
  <c r="BH130" i="824"/>
  <c r="AP126" i="824"/>
  <c r="BH126" i="824"/>
  <c r="BA130" i="824"/>
  <c r="BS130" i="824"/>
  <c r="AP132" i="824"/>
  <c r="BH132" i="824"/>
  <c r="BA131" i="824"/>
  <c r="BS131" i="824"/>
  <c r="AP128" i="824"/>
  <c r="BH128" i="824"/>
  <c r="AP125" i="824"/>
  <c r="O14" i="28"/>
  <c r="O13" i="28"/>
  <c r="O12" i="28"/>
  <c r="O11" i="28"/>
  <c r="O10" i="28"/>
  <c r="O9" i="28"/>
  <c r="O8" i="28"/>
  <c r="Y91" i="805"/>
  <c r="AH8" i="824" l="1"/>
  <c r="W8" i="824"/>
  <c r="BZ205" i="825"/>
  <c r="BH205" i="825"/>
  <c r="P10" i="824"/>
  <c r="P9" i="824"/>
  <c r="BH207" i="825"/>
  <c r="BZ207" i="825"/>
  <c r="D19" i="805"/>
  <c r="BZ208" i="825" l="1"/>
  <c r="BH208" i="825"/>
  <c r="P88" i="824"/>
  <c r="BS125" i="824"/>
  <c r="BA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J8" i="404"/>
  <c r="Y8" i="404"/>
  <c r="Y6" i="404"/>
  <c r="Y5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S90" i="788"/>
  <c r="Y11" i="788"/>
  <c r="Y12" i="788"/>
  <c r="Y13" i="788"/>
  <c r="Y14" i="788"/>
  <c r="Y15" i="788"/>
  <c r="Y16" i="788"/>
  <c r="Y17" i="788"/>
  <c r="Y18" i="788"/>
  <c r="Y19" i="788"/>
  <c r="Y20" i="788"/>
  <c r="Y21" i="788"/>
  <c r="Y22" i="788"/>
  <c r="Y23" i="788"/>
  <c r="R11" i="788"/>
  <c r="R12" i="788"/>
  <c r="R13" i="788"/>
  <c r="R14" i="788"/>
  <c r="R15" i="788"/>
  <c r="R16" i="788"/>
  <c r="R17" i="788"/>
  <c r="R18" i="788"/>
  <c r="R19" i="788"/>
  <c r="R20" i="788"/>
  <c r="R21" i="788"/>
  <c r="R22" i="788"/>
  <c r="R23" i="788"/>
  <c r="W9" i="788"/>
  <c r="W10" i="788"/>
  <c r="W11" i="788"/>
  <c r="W12" i="788"/>
  <c r="W13" i="788"/>
  <c r="W14" i="788"/>
  <c r="W15" i="788"/>
  <c r="W16" i="788"/>
  <c r="W17" i="788"/>
  <c r="W18" i="788"/>
  <c r="W19" i="788"/>
  <c r="W20" i="788"/>
  <c r="W21" i="788"/>
  <c r="W22" i="788"/>
  <c r="W23" i="788"/>
  <c r="W8" i="788"/>
  <c r="I9" i="788"/>
  <c r="Y9" i="788" s="1"/>
  <c r="I10" i="788"/>
  <c r="Y10" i="788" s="1"/>
  <c r="I11" i="788"/>
  <c r="I12" i="788"/>
  <c r="I13" i="788"/>
  <c r="I14" i="788"/>
  <c r="I15" i="788"/>
  <c r="I16" i="788"/>
  <c r="I17" i="788"/>
  <c r="I18" i="788"/>
  <c r="I19" i="788"/>
  <c r="I20" i="788"/>
  <c r="I21" i="788"/>
  <c r="I22" i="788"/>
  <c r="I23" i="788"/>
  <c r="I24" i="788"/>
  <c r="I25" i="788"/>
  <c r="I26" i="788"/>
  <c r="I27" i="788"/>
  <c r="I28" i="788"/>
  <c r="I29" i="788"/>
  <c r="I30" i="788"/>
  <c r="I31" i="788"/>
  <c r="I32" i="788"/>
  <c r="I33" i="788"/>
  <c r="I34" i="788"/>
  <c r="I35" i="788"/>
  <c r="I36" i="788"/>
  <c r="I37" i="788"/>
  <c r="I38" i="788"/>
  <c r="I39" i="788"/>
  <c r="I40" i="788"/>
  <c r="I41" i="788"/>
  <c r="I42" i="788"/>
  <c r="I43" i="788"/>
  <c r="I44" i="788"/>
  <c r="I45" i="788"/>
  <c r="I46" i="788"/>
  <c r="I47" i="788"/>
  <c r="I48" i="788"/>
  <c r="I49" i="788"/>
  <c r="I50" i="788"/>
  <c r="I51" i="788"/>
  <c r="I52" i="788"/>
  <c r="I53" i="788"/>
  <c r="I54" i="788"/>
  <c r="I55" i="788"/>
  <c r="I56" i="788"/>
  <c r="I57" i="788"/>
  <c r="I58" i="788"/>
  <c r="I59" i="788"/>
  <c r="I60" i="788"/>
  <c r="I61" i="788"/>
  <c r="I62" i="788"/>
  <c r="I63" i="788"/>
  <c r="I64" i="788"/>
  <c r="I65" i="788"/>
  <c r="I66" i="788"/>
  <c r="I67" i="788"/>
  <c r="I68" i="788"/>
  <c r="I69" i="788"/>
  <c r="I70" i="788"/>
  <c r="I71" i="788"/>
  <c r="I72" i="788"/>
  <c r="I73" i="788"/>
  <c r="I74" i="788"/>
  <c r="I75" i="788"/>
  <c r="I76" i="788"/>
  <c r="I77" i="788"/>
  <c r="I78" i="788"/>
  <c r="I79" i="788"/>
  <c r="I80" i="788"/>
  <c r="I81" i="788"/>
  <c r="I82" i="788"/>
  <c r="I83" i="788"/>
  <c r="I84" i="788"/>
  <c r="I85" i="788"/>
  <c r="I86" i="788"/>
  <c r="I87" i="788"/>
  <c r="I8" i="788"/>
  <c r="Y8" i="788" s="1"/>
  <c r="Y8" i="802"/>
  <c r="Y6" i="802"/>
  <c r="Y5" i="802"/>
  <c r="Q5" i="802"/>
  <c r="V5" i="404"/>
  <c r="Q5" i="404"/>
  <c r="W4" i="406"/>
  <c r="R8" i="406"/>
  <c r="R4" i="406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F24" i="800"/>
  <c r="F25" i="800"/>
  <c r="F26" i="800"/>
  <c r="F27" i="800"/>
  <c r="F8" i="800"/>
  <c r="E73" i="229"/>
  <c r="E74" i="229"/>
  <c r="E75" i="229"/>
  <c r="E76" i="229"/>
  <c r="E77" i="229"/>
  <c r="E78" i="229"/>
  <c r="E79" i="229"/>
  <c r="E80" i="229"/>
  <c r="E81" i="229"/>
  <c r="E82" i="229"/>
  <c r="E83" i="229"/>
  <c r="E84" i="229"/>
  <c r="E72" i="229"/>
  <c r="E49" i="229"/>
  <c r="E50" i="229"/>
  <c r="E51" i="229"/>
  <c r="E52" i="229"/>
  <c r="E53" i="229"/>
  <c r="E54" i="229"/>
  <c r="E55" i="229"/>
  <c r="E56" i="229"/>
  <c r="E57" i="229"/>
  <c r="E58" i="229"/>
  <c r="E59" i="229"/>
  <c r="E60" i="229"/>
  <c r="E48" i="229"/>
  <c r="E8" i="229"/>
  <c r="E9" i="229"/>
  <c r="E10" i="229"/>
  <c r="E11" i="229"/>
  <c r="E12" i="229"/>
  <c r="E13" i="229"/>
  <c r="E14" i="229"/>
  <c r="E15" i="229"/>
  <c r="E16" i="229"/>
  <c r="E17" i="229"/>
  <c r="E7" i="229"/>
  <c r="U24" i="4"/>
  <c r="U25" i="4"/>
  <c r="U26" i="4"/>
  <c r="U27" i="4"/>
  <c r="U28" i="4"/>
  <c r="U29" i="4"/>
  <c r="J25" i="4"/>
  <c r="J26" i="4"/>
  <c r="J27" i="4"/>
  <c r="J28" i="4"/>
  <c r="J29" i="4"/>
  <c r="J30" i="4"/>
  <c r="J31" i="4"/>
  <c r="J32" i="4"/>
  <c r="J33" i="4"/>
  <c r="J34" i="4"/>
  <c r="J35" i="4"/>
  <c r="J24" i="4"/>
  <c r="C17" i="805"/>
  <c r="D15" i="805"/>
  <c r="D13" i="805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J7" i="103"/>
  <c r="J8" i="103"/>
  <c r="J9" i="103"/>
  <c r="J10" i="103"/>
  <c r="J11" i="103"/>
  <c r="J12" i="103"/>
  <c r="J13" i="103"/>
  <c r="J14" i="103"/>
  <c r="J15" i="103"/>
  <c r="J16" i="103"/>
  <c r="J17" i="103"/>
  <c r="J18" i="103"/>
  <c r="J19" i="103"/>
  <c r="J20" i="103"/>
  <c r="J21" i="103"/>
  <c r="J22" i="103"/>
  <c r="J23" i="103"/>
  <c r="J24" i="103"/>
  <c r="J25" i="103"/>
  <c r="J26" i="103"/>
  <c r="J27" i="103"/>
  <c r="J28" i="103"/>
  <c r="J29" i="103"/>
  <c r="J30" i="103"/>
  <c r="J31" i="103"/>
  <c r="J32" i="103"/>
  <c r="J33" i="103"/>
  <c r="J34" i="103"/>
  <c r="J35" i="103"/>
  <c r="J36" i="103"/>
  <c r="J37" i="103"/>
  <c r="J38" i="103"/>
  <c r="J39" i="103"/>
  <c r="J40" i="103"/>
  <c r="J41" i="103"/>
  <c r="J42" i="103"/>
  <c r="J43" i="103"/>
  <c r="J44" i="103"/>
  <c r="J45" i="103"/>
  <c r="J46" i="103"/>
  <c r="J47" i="103"/>
  <c r="J48" i="103"/>
  <c r="J49" i="103"/>
  <c r="J50" i="103"/>
  <c r="J51" i="103"/>
  <c r="J52" i="103"/>
  <c r="J53" i="103"/>
  <c r="J54" i="103"/>
  <c r="J55" i="103"/>
  <c r="J56" i="103"/>
  <c r="J57" i="103"/>
  <c r="J58" i="103"/>
  <c r="J59" i="103"/>
  <c r="J60" i="103"/>
  <c r="J61" i="103"/>
  <c r="J62" i="103"/>
  <c r="J63" i="103"/>
  <c r="J64" i="103"/>
  <c r="J65" i="103"/>
  <c r="J66" i="103"/>
  <c r="J67" i="103"/>
  <c r="J68" i="103"/>
  <c r="J69" i="103"/>
  <c r="J70" i="103"/>
  <c r="J71" i="103"/>
  <c r="J72" i="103"/>
  <c r="J73" i="103"/>
  <c r="J74" i="103"/>
  <c r="J75" i="103"/>
  <c r="J76" i="103"/>
  <c r="J77" i="103"/>
  <c r="J78" i="103"/>
  <c r="J79" i="103"/>
  <c r="J80" i="103"/>
  <c r="J81" i="103"/>
  <c r="J82" i="103"/>
  <c r="J83" i="103"/>
  <c r="J84" i="103"/>
  <c r="J85" i="103"/>
  <c r="J86" i="103"/>
  <c r="J87" i="103"/>
  <c r="J88" i="103"/>
  <c r="J89" i="103"/>
  <c r="J90" i="103"/>
  <c r="J91" i="103"/>
  <c r="J92" i="103"/>
  <c r="J93" i="103"/>
  <c r="J94" i="103"/>
  <c r="J95" i="103"/>
  <c r="J96" i="103"/>
  <c r="J97" i="103"/>
  <c r="J98" i="103"/>
  <c r="J99" i="103"/>
  <c r="J100" i="103"/>
  <c r="J6" i="103"/>
  <c r="H7" i="589"/>
  <c r="H8" i="589"/>
  <c r="H9" i="589"/>
  <c r="H10" i="589"/>
  <c r="H11" i="589"/>
  <c r="H12" i="589"/>
  <c r="H13" i="589"/>
  <c r="H14" i="589"/>
  <c r="H15" i="589"/>
  <c r="H16" i="589"/>
  <c r="H17" i="589"/>
  <c r="H18" i="589"/>
  <c r="H19" i="589"/>
  <c r="H6" i="589"/>
  <c r="AG7" i="781"/>
  <c r="H71" i="782"/>
  <c r="H72" i="782"/>
  <c r="H73" i="782"/>
  <c r="H74" i="782"/>
  <c r="H75" i="782"/>
  <c r="H76" i="782"/>
  <c r="H77" i="782"/>
  <c r="H78" i="782"/>
  <c r="H79" i="782"/>
  <c r="H80" i="782"/>
  <c r="H81" i="782"/>
  <c r="H82" i="782"/>
  <c r="H83" i="782"/>
  <c r="H84" i="782"/>
  <c r="H85" i="782"/>
  <c r="H86" i="782"/>
  <c r="H87" i="782"/>
  <c r="H88" i="782"/>
  <c r="H89" i="782"/>
  <c r="H90" i="782"/>
  <c r="H91" i="782"/>
  <c r="H92" i="782"/>
  <c r="H93" i="782"/>
  <c r="H94" i="782"/>
  <c r="H95" i="782"/>
  <c r="H96" i="782"/>
  <c r="H97" i="782"/>
  <c r="H98" i="782"/>
  <c r="H99" i="782"/>
  <c r="H100" i="782"/>
  <c r="H9" i="782"/>
  <c r="H10" i="782"/>
  <c r="H11" i="782"/>
  <c r="H12" i="782"/>
  <c r="H13" i="782"/>
  <c r="H14" i="782"/>
  <c r="H15" i="782"/>
  <c r="H16" i="782"/>
  <c r="H17" i="782"/>
  <c r="H18" i="782"/>
  <c r="H19" i="782"/>
  <c r="H20" i="782"/>
  <c r="H21" i="782"/>
  <c r="H22" i="782"/>
  <c r="H23" i="782"/>
  <c r="H24" i="782"/>
  <c r="H25" i="782"/>
  <c r="H26" i="782"/>
  <c r="H27" i="782"/>
  <c r="H28" i="782"/>
  <c r="H29" i="782"/>
  <c r="H30" i="782"/>
  <c r="H31" i="782"/>
  <c r="H32" i="782"/>
  <c r="H33" i="782"/>
  <c r="H34" i="782"/>
  <c r="H35" i="782"/>
  <c r="H36" i="782"/>
  <c r="H37" i="782"/>
  <c r="H38" i="782"/>
  <c r="H39" i="782"/>
  <c r="H40" i="782"/>
  <c r="H41" i="782"/>
  <c r="H42" i="782"/>
  <c r="H43" i="782"/>
  <c r="H44" i="782"/>
  <c r="H45" i="782"/>
  <c r="H46" i="782"/>
  <c r="H47" i="782"/>
  <c r="H48" i="782"/>
  <c r="H49" i="782"/>
  <c r="H50" i="782"/>
  <c r="H51" i="782"/>
  <c r="H52" i="782"/>
  <c r="H53" i="782"/>
  <c r="H54" i="782"/>
  <c r="H55" i="782"/>
  <c r="H56" i="782"/>
  <c r="H57" i="782"/>
  <c r="H58" i="782"/>
  <c r="H59" i="782"/>
  <c r="H60" i="782"/>
  <c r="H61" i="782"/>
  <c r="H62" i="782"/>
  <c r="H63" i="782"/>
  <c r="H64" i="782"/>
  <c r="H65" i="782"/>
  <c r="H66" i="782"/>
  <c r="H67" i="782"/>
  <c r="H68" i="782"/>
  <c r="H69" i="782"/>
  <c r="H70" i="782"/>
  <c r="H8" i="782"/>
  <c r="L8" i="784"/>
  <c r="O9" i="785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I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H4" i="805" l="1"/>
  <c r="K9" i="805"/>
  <c r="K10" i="805"/>
  <c r="K11" i="805"/>
  <c r="K12" i="805"/>
  <c r="K13" i="805"/>
  <c r="K14" i="805"/>
  <c r="K15" i="805"/>
  <c r="K16" i="805"/>
  <c r="K17" i="805"/>
  <c r="K18" i="805"/>
  <c r="K19" i="805"/>
  <c r="K20" i="805"/>
  <c r="K21" i="805"/>
  <c r="K22" i="805"/>
  <c r="K23" i="805"/>
  <c r="K24" i="805"/>
  <c r="K25" i="805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5" i="805"/>
  <c r="K76" i="805"/>
  <c r="K77" i="805"/>
  <c r="K78" i="805"/>
  <c r="K79" i="805"/>
  <c r="K80" i="805"/>
  <c r="K81" i="805"/>
  <c r="K82" i="805"/>
  <c r="K83" i="805"/>
  <c r="K84" i="805"/>
  <c r="K85" i="805"/>
  <c r="K86" i="805"/>
  <c r="K87" i="805"/>
  <c r="AA8" i="805"/>
  <c r="BS127" i="824"/>
  <c r="BA127" i="824"/>
  <c r="BA126" i="824"/>
  <c r="BS126" i="824"/>
  <c r="AY125" i="824"/>
  <c r="BC125" i="824" s="1"/>
  <c r="BC205" i="824" s="1"/>
  <c r="BQ125" i="824"/>
  <c r="BU125" i="824" s="1"/>
  <c r="BU205" i="824" s="1"/>
  <c r="AF8" i="805"/>
  <c r="K8" i="805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W8" i="805" l="1"/>
  <c r="AX8" i="805" s="1"/>
  <c r="AY8" i="805" s="1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Q8" i="805" l="1"/>
  <c r="U11" i="805"/>
  <c r="U10" i="805"/>
  <c r="U9" i="805"/>
  <c r="N89" i="805"/>
  <c r="D9" i="805"/>
  <c r="F17" i="805"/>
  <c r="E9" i="805" s="1"/>
  <c r="Z25" i="4"/>
  <c r="Z24" i="4"/>
  <c r="E18" i="229"/>
  <c r="E19" i="229"/>
  <c r="E20" i="229"/>
  <c r="E21" i="229"/>
  <c r="E22" i="229"/>
  <c r="E23" i="229"/>
  <c r="E24" i="229"/>
  <c r="E25" i="229"/>
  <c r="E26" i="229"/>
  <c r="E27" i="229"/>
  <c r="E28" i="229"/>
  <c r="E29" i="229"/>
  <c r="E30" i="229"/>
  <c r="E6" i="805"/>
  <c r="Y11" i="805" l="1"/>
  <c r="Y8" i="805"/>
  <c r="AC8" i="805"/>
  <c r="Y10" i="805"/>
  <c r="Y9" i="805"/>
  <c r="D17" i="805"/>
  <c r="S90" i="805"/>
  <c r="J8" i="805"/>
  <c r="J9" i="805" s="1"/>
  <c r="J10" i="805" s="1"/>
  <c r="J11" i="805" s="1"/>
  <c r="BD195" i="788"/>
  <c r="BE128" i="788"/>
  <c r="BE129" i="788"/>
  <c r="BE130" i="788"/>
  <c r="BE131" i="788"/>
  <c r="BE132" i="788"/>
  <c r="BE133" i="788"/>
  <c r="BE134" i="788"/>
  <c r="BE135" i="788"/>
  <c r="BE136" i="788"/>
  <c r="BE137" i="788"/>
  <c r="BE138" i="788"/>
  <c r="BE139" i="788"/>
  <c r="BE140" i="788"/>
  <c r="BE141" i="788"/>
  <c r="BE142" i="788"/>
  <c r="BE143" i="788"/>
  <c r="BE144" i="788"/>
  <c r="BE145" i="788"/>
  <c r="BE146" i="788"/>
  <c r="BE147" i="788"/>
  <c r="BE148" i="788"/>
  <c r="BE149" i="788"/>
  <c r="BE150" i="788"/>
  <c r="BE151" i="788"/>
  <c r="BE152" i="788"/>
  <c r="BE153" i="788"/>
  <c r="BE154" i="788"/>
  <c r="BE155" i="788"/>
  <c r="BE156" i="788"/>
  <c r="BE157" i="788"/>
  <c r="BE158" i="788"/>
  <c r="BE159" i="788"/>
  <c r="BE160" i="788"/>
  <c r="BE161" i="788"/>
  <c r="BE162" i="788"/>
  <c r="BE163" i="788"/>
  <c r="BE164" i="788"/>
  <c r="BE165" i="788"/>
  <c r="BE166" i="788"/>
  <c r="BE167" i="788"/>
  <c r="BE168" i="788"/>
  <c r="BE169" i="788"/>
  <c r="BE170" i="788"/>
  <c r="BE171" i="788"/>
  <c r="BE172" i="788"/>
  <c r="BE173" i="788"/>
  <c r="BE174" i="788"/>
  <c r="BE175" i="788"/>
  <c r="BE176" i="788"/>
  <c r="BE177" i="788"/>
  <c r="BE178" i="788"/>
  <c r="BE179" i="788"/>
  <c r="BE180" i="788"/>
  <c r="BE181" i="788"/>
  <c r="BE182" i="788"/>
  <c r="BE183" i="788"/>
  <c r="BE184" i="788"/>
  <c r="BE185" i="788"/>
  <c r="BE186" i="788"/>
  <c r="BE187" i="788"/>
  <c r="BE188" i="788"/>
  <c r="BE189" i="788"/>
  <c r="BE190" i="788"/>
  <c r="BE191" i="788"/>
  <c r="BE192" i="788"/>
  <c r="BE193" i="788"/>
  <c r="BE194" i="788"/>
  <c r="BE195" i="788"/>
  <c r="BE196" i="788"/>
  <c r="BE197" i="788"/>
  <c r="BE198" i="788"/>
  <c r="BE199" i="788"/>
  <c r="BE200" i="788"/>
  <c r="BE201" i="788"/>
  <c r="BE202" i="788"/>
  <c r="BE203" i="788"/>
  <c r="BE204" i="788"/>
  <c r="BA126" i="788"/>
  <c r="BA127" i="788"/>
  <c r="BA128" i="788"/>
  <c r="BA129" i="788"/>
  <c r="BA130" i="788"/>
  <c r="BA131" i="788"/>
  <c r="BA132" i="788"/>
  <c r="BA133" i="788"/>
  <c r="BA134" i="788"/>
  <c r="BA135" i="788"/>
  <c r="BA136" i="788"/>
  <c r="BA137" i="788"/>
  <c r="BA138" i="788"/>
  <c r="BA139" i="788"/>
  <c r="BA140" i="788"/>
  <c r="BA141" i="788"/>
  <c r="BA142" i="788"/>
  <c r="BA143" i="788"/>
  <c r="BA144" i="788"/>
  <c r="BA145" i="788"/>
  <c r="BA146" i="788"/>
  <c r="BA147" i="788"/>
  <c r="BA148" i="788"/>
  <c r="BA149" i="788"/>
  <c r="BA150" i="788"/>
  <c r="BA151" i="788"/>
  <c r="BA152" i="788"/>
  <c r="BA153" i="788"/>
  <c r="BA154" i="788"/>
  <c r="BA155" i="788"/>
  <c r="BA156" i="788"/>
  <c r="BA157" i="788"/>
  <c r="BA158" i="788"/>
  <c r="BA159" i="788"/>
  <c r="BA160" i="788"/>
  <c r="BA161" i="788"/>
  <c r="BA162" i="788"/>
  <c r="BA163" i="788"/>
  <c r="BA164" i="788"/>
  <c r="BA165" i="788"/>
  <c r="BA166" i="788"/>
  <c r="BA167" i="788"/>
  <c r="BA168" i="788"/>
  <c r="BA169" i="788"/>
  <c r="BA170" i="788"/>
  <c r="BA171" i="788"/>
  <c r="BA172" i="788"/>
  <c r="BA173" i="788"/>
  <c r="BA174" i="788"/>
  <c r="BA175" i="788"/>
  <c r="BA176" i="788"/>
  <c r="BA177" i="788"/>
  <c r="BA178" i="788"/>
  <c r="BA179" i="788"/>
  <c r="BA180" i="788"/>
  <c r="BA181" i="788"/>
  <c r="BA182" i="788"/>
  <c r="BA183" i="788"/>
  <c r="BA184" i="788"/>
  <c r="BA185" i="788"/>
  <c r="BA186" i="788"/>
  <c r="BA187" i="788"/>
  <c r="BA188" i="788"/>
  <c r="BA189" i="788"/>
  <c r="BA190" i="788"/>
  <c r="BA191" i="788"/>
  <c r="BA192" i="788"/>
  <c r="BA193" i="788"/>
  <c r="BA194" i="788"/>
  <c r="BA195" i="788"/>
  <c r="BA196" i="788"/>
  <c r="BA197" i="788"/>
  <c r="BA198" i="788"/>
  <c r="BA199" i="788"/>
  <c r="BA200" i="788"/>
  <c r="BA201" i="788"/>
  <c r="BA202" i="788"/>
  <c r="BA203" i="788"/>
  <c r="BA204" i="788"/>
  <c r="BA125" i="788"/>
  <c r="AM128" i="788"/>
  <c r="AM129" i="788"/>
  <c r="AM130" i="788"/>
  <c r="AM131" i="788"/>
  <c r="AM132" i="788"/>
  <c r="AM133" i="788"/>
  <c r="AM134" i="788"/>
  <c r="AM135" i="788"/>
  <c r="AM136" i="788"/>
  <c r="AM137" i="788"/>
  <c r="AM138" i="788"/>
  <c r="AM139" i="788"/>
  <c r="AM140" i="788"/>
  <c r="AM141" i="788"/>
  <c r="AM142" i="788"/>
  <c r="AM143" i="788"/>
  <c r="AM144" i="788"/>
  <c r="AM145" i="788"/>
  <c r="AM146" i="788"/>
  <c r="AM147" i="788"/>
  <c r="AM148" i="788"/>
  <c r="AM149" i="788"/>
  <c r="AM150" i="788"/>
  <c r="AM151" i="788"/>
  <c r="AM152" i="788"/>
  <c r="AM153" i="788"/>
  <c r="AM154" i="788"/>
  <c r="AM155" i="788"/>
  <c r="AM156" i="788"/>
  <c r="AM157" i="788"/>
  <c r="AM158" i="788"/>
  <c r="AM159" i="788"/>
  <c r="AM160" i="788"/>
  <c r="AM161" i="788"/>
  <c r="AM162" i="788"/>
  <c r="AM163" i="788"/>
  <c r="AM164" i="788"/>
  <c r="AM165" i="788"/>
  <c r="AM166" i="788"/>
  <c r="AM167" i="788"/>
  <c r="AM168" i="788"/>
  <c r="AM169" i="788"/>
  <c r="AM170" i="788"/>
  <c r="AM171" i="788"/>
  <c r="AM172" i="788"/>
  <c r="AM173" i="788"/>
  <c r="AM174" i="788"/>
  <c r="AM175" i="788"/>
  <c r="AM176" i="788"/>
  <c r="AM177" i="788"/>
  <c r="AM178" i="788"/>
  <c r="AM179" i="788"/>
  <c r="AM180" i="788"/>
  <c r="AM181" i="788"/>
  <c r="AM182" i="788"/>
  <c r="AM183" i="788"/>
  <c r="AM184" i="788"/>
  <c r="AM185" i="788"/>
  <c r="AM186" i="788"/>
  <c r="AM187" i="788"/>
  <c r="AM188" i="788"/>
  <c r="AM189" i="788"/>
  <c r="AM190" i="788"/>
  <c r="AM191" i="788"/>
  <c r="AM192" i="788"/>
  <c r="AM193" i="788"/>
  <c r="AM194" i="788"/>
  <c r="AM195" i="788"/>
  <c r="AM196" i="788"/>
  <c r="AM197" i="788"/>
  <c r="AM198" i="788"/>
  <c r="AM199" i="788"/>
  <c r="AM200" i="788"/>
  <c r="AI126" i="788"/>
  <c r="AI127" i="788"/>
  <c r="AI128" i="788"/>
  <c r="AI129" i="788"/>
  <c r="AI130" i="788"/>
  <c r="AI131" i="788"/>
  <c r="AI132" i="788"/>
  <c r="AI133" i="788"/>
  <c r="AI134" i="788"/>
  <c r="AI135" i="788"/>
  <c r="AI136" i="788"/>
  <c r="AI137" i="788"/>
  <c r="AI138" i="788"/>
  <c r="AI139" i="788"/>
  <c r="AI140" i="788"/>
  <c r="AI141" i="788"/>
  <c r="AI142" i="788"/>
  <c r="AI143" i="788"/>
  <c r="AI144" i="788"/>
  <c r="AI145" i="788"/>
  <c r="AI146" i="788"/>
  <c r="AI147" i="788"/>
  <c r="AI148" i="788"/>
  <c r="AI149" i="788"/>
  <c r="AI150" i="788"/>
  <c r="AI151" i="788"/>
  <c r="AI152" i="788"/>
  <c r="AI153" i="788"/>
  <c r="AI154" i="788"/>
  <c r="AI155" i="788"/>
  <c r="AI156" i="788"/>
  <c r="AI157" i="788"/>
  <c r="AI158" i="788"/>
  <c r="AI159" i="788"/>
  <c r="AI160" i="788"/>
  <c r="AI161" i="788"/>
  <c r="AI162" i="788"/>
  <c r="AI163" i="788"/>
  <c r="AI164" i="788"/>
  <c r="AI165" i="788"/>
  <c r="AI166" i="788"/>
  <c r="AI167" i="788"/>
  <c r="AI168" i="788"/>
  <c r="AI169" i="788"/>
  <c r="AI170" i="788"/>
  <c r="AI171" i="788"/>
  <c r="AI172" i="788"/>
  <c r="AI173" i="788"/>
  <c r="AI174" i="788"/>
  <c r="AI175" i="788"/>
  <c r="AI176" i="788"/>
  <c r="AI177" i="788"/>
  <c r="AI178" i="788"/>
  <c r="AI179" i="788"/>
  <c r="AI180" i="788"/>
  <c r="AI181" i="788"/>
  <c r="AI182" i="788"/>
  <c r="AI183" i="788"/>
  <c r="AI184" i="788"/>
  <c r="AI185" i="788"/>
  <c r="AI186" i="788"/>
  <c r="AI187" i="788"/>
  <c r="AI188" i="788"/>
  <c r="AI189" i="788"/>
  <c r="AI190" i="788"/>
  <c r="AI191" i="788"/>
  <c r="AI192" i="788"/>
  <c r="AI193" i="788"/>
  <c r="AI194" i="788"/>
  <c r="AI195" i="788"/>
  <c r="AI196" i="788"/>
  <c r="AI197" i="788"/>
  <c r="AI198" i="788"/>
  <c r="AI199" i="788"/>
  <c r="AI200" i="788"/>
  <c r="AI125" i="788"/>
  <c r="J11" i="788"/>
  <c r="J12" i="788"/>
  <c r="J13" i="788"/>
  <c r="J14" i="788"/>
  <c r="J15" i="788"/>
  <c r="J16" i="788"/>
  <c r="J17" i="788"/>
  <c r="J18" i="788"/>
  <c r="J19" i="788"/>
  <c r="J20" i="788"/>
  <c r="J21" i="788"/>
  <c r="J22" i="788"/>
  <c r="J23" i="788"/>
  <c r="E9" i="788"/>
  <c r="Y24" i="788"/>
  <c r="Y25" i="788"/>
  <c r="Y26" i="788"/>
  <c r="Y27" i="788"/>
  <c r="Y28" i="788"/>
  <c r="Y29" i="788"/>
  <c r="Y30" i="788"/>
  <c r="Y31" i="788"/>
  <c r="Y32" i="788"/>
  <c r="Y33" i="788"/>
  <c r="Y34" i="788"/>
  <c r="Y35" i="788"/>
  <c r="Y36" i="788"/>
  <c r="Y37" i="788"/>
  <c r="Y38" i="788"/>
  <c r="Y39" i="788"/>
  <c r="Y40" i="788"/>
  <c r="Y41" i="788"/>
  <c r="Y42" i="788"/>
  <c r="Y43" i="788"/>
  <c r="Y44" i="788"/>
  <c r="Y45" i="788"/>
  <c r="Y46" i="788"/>
  <c r="Y47" i="788"/>
  <c r="Y48" i="788"/>
  <c r="Y49" i="788"/>
  <c r="Y50" i="788"/>
  <c r="Y51" i="788"/>
  <c r="Y52" i="788"/>
  <c r="Y53" i="788"/>
  <c r="Y54" i="788"/>
  <c r="Y55" i="788"/>
  <c r="Y56" i="788"/>
  <c r="Y57" i="788"/>
  <c r="Y58" i="788"/>
  <c r="Y59" i="788"/>
  <c r="Y60" i="788"/>
  <c r="Y61" i="788"/>
  <c r="Y62" i="788"/>
  <c r="Y63" i="788"/>
  <c r="Y64" i="788"/>
  <c r="Y65" i="788"/>
  <c r="Y66" i="788"/>
  <c r="Y67" i="788"/>
  <c r="Y68" i="788"/>
  <c r="Y69" i="788"/>
  <c r="Y70" i="788"/>
  <c r="Y71" i="788"/>
  <c r="Y72" i="788"/>
  <c r="Y73" i="788"/>
  <c r="Y74" i="788"/>
  <c r="Y75" i="788"/>
  <c r="Y76" i="788"/>
  <c r="Y77" i="788"/>
  <c r="Y78" i="788"/>
  <c r="Y79" i="788"/>
  <c r="Y80" i="788"/>
  <c r="Y81" i="788"/>
  <c r="Y82" i="788"/>
  <c r="Y83" i="788"/>
  <c r="Y84" i="788"/>
  <c r="Y85" i="788"/>
  <c r="Y86" i="788"/>
  <c r="Y87" i="788"/>
  <c r="W24" i="788"/>
  <c r="W25" i="788"/>
  <c r="W26" i="788"/>
  <c r="W27" i="788"/>
  <c r="W28" i="788"/>
  <c r="W29" i="788"/>
  <c r="W30" i="788"/>
  <c r="W31" i="788"/>
  <c r="W32" i="788"/>
  <c r="W33" i="788"/>
  <c r="W34" i="788"/>
  <c r="W35" i="788"/>
  <c r="W36" i="788"/>
  <c r="W37" i="788"/>
  <c r="W38" i="788"/>
  <c r="W39" i="788"/>
  <c r="W40" i="788"/>
  <c r="W41" i="788"/>
  <c r="W42" i="788"/>
  <c r="W43" i="788"/>
  <c r="W44" i="788"/>
  <c r="W45" i="788"/>
  <c r="W46" i="788"/>
  <c r="W47" i="788"/>
  <c r="W48" i="788"/>
  <c r="W49" i="788"/>
  <c r="W50" i="788"/>
  <c r="W51" i="788"/>
  <c r="W52" i="788"/>
  <c r="W53" i="788"/>
  <c r="W54" i="788"/>
  <c r="W55" i="788"/>
  <c r="W56" i="788"/>
  <c r="W57" i="788"/>
  <c r="W58" i="788"/>
  <c r="W59" i="788"/>
  <c r="W60" i="788"/>
  <c r="W61" i="788"/>
  <c r="W62" i="788"/>
  <c r="W63" i="788"/>
  <c r="W64" i="788"/>
  <c r="W65" i="788"/>
  <c r="W66" i="788"/>
  <c r="W67" i="788"/>
  <c r="W68" i="788"/>
  <c r="W69" i="788"/>
  <c r="W70" i="788"/>
  <c r="W71" i="788"/>
  <c r="W72" i="788"/>
  <c r="W73" i="788"/>
  <c r="W74" i="788"/>
  <c r="W75" i="788"/>
  <c r="W76" i="788"/>
  <c r="W77" i="788"/>
  <c r="W78" i="788"/>
  <c r="W79" i="788"/>
  <c r="W80" i="788"/>
  <c r="W81" i="788"/>
  <c r="W82" i="788"/>
  <c r="W83" i="788"/>
  <c r="W84" i="788"/>
  <c r="W85" i="788"/>
  <c r="W86" i="788"/>
  <c r="W87" i="788"/>
  <c r="P11" i="788"/>
  <c r="Q11" i="788"/>
  <c r="V11" i="788"/>
  <c r="P12" i="788"/>
  <c r="Q12" i="788"/>
  <c r="V12" i="788"/>
  <c r="P13" i="788"/>
  <c r="Q13" i="788"/>
  <c r="V13" i="788"/>
  <c r="P14" i="788"/>
  <c r="Q14" i="788"/>
  <c r="V14" i="788"/>
  <c r="P15" i="788"/>
  <c r="Q15" i="788"/>
  <c r="V15" i="788"/>
  <c r="P16" i="788"/>
  <c r="Q16" i="788"/>
  <c r="V16" i="788"/>
  <c r="P17" i="788"/>
  <c r="Q17" i="788"/>
  <c r="V17" i="788"/>
  <c r="P18" i="788"/>
  <c r="Q18" i="788"/>
  <c r="V18" i="788"/>
  <c r="P19" i="788"/>
  <c r="Q19" i="788"/>
  <c r="V19" i="788"/>
  <c r="P20" i="788"/>
  <c r="Q20" i="788"/>
  <c r="V20" i="788"/>
  <c r="P21" i="788"/>
  <c r="Q21" i="788"/>
  <c r="V21" i="788"/>
  <c r="P22" i="788"/>
  <c r="Q22" i="788"/>
  <c r="V22" i="788"/>
  <c r="P23" i="788"/>
  <c r="Q23" i="788"/>
  <c r="V23" i="788"/>
  <c r="P24" i="788"/>
  <c r="Q24" i="788"/>
  <c r="R24" i="788"/>
  <c r="V24" i="788" s="1"/>
  <c r="P25" i="788"/>
  <c r="Q25" i="788"/>
  <c r="R25" i="788"/>
  <c r="V25" i="788" s="1"/>
  <c r="P26" i="788"/>
  <c r="Q26" i="788"/>
  <c r="R26" i="788"/>
  <c r="V26" i="788" s="1"/>
  <c r="P27" i="788"/>
  <c r="Q27" i="788"/>
  <c r="R27" i="788"/>
  <c r="V27" i="788" s="1"/>
  <c r="P28" i="788"/>
  <c r="Q28" i="788"/>
  <c r="R28" i="788"/>
  <c r="V28" i="788" s="1"/>
  <c r="P29" i="788"/>
  <c r="Q29" i="788"/>
  <c r="R29" i="788"/>
  <c r="V29" i="788" s="1"/>
  <c r="P30" i="788"/>
  <c r="Q30" i="788"/>
  <c r="R30" i="788"/>
  <c r="V30" i="788" s="1"/>
  <c r="P31" i="788"/>
  <c r="Q31" i="788"/>
  <c r="R31" i="788"/>
  <c r="V31" i="788" s="1"/>
  <c r="P32" i="788"/>
  <c r="Q32" i="788"/>
  <c r="R32" i="788"/>
  <c r="V32" i="788" s="1"/>
  <c r="P33" i="788"/>
  <c r="Q33" i="788"/>
  <c r="R33" i="788"/>
  <c r="V33" i="788" s="1"/>
  <c r="P34" i="788"/>
  <c r="Q34" i="788"/>
  <c r="R34" i="788"/>
  <c r="V34" i="788" s="1"/>
  <c r="P35" i="788"/>
  <c r="Q35" i="788"/>
  <c r="R35" i="788"/>
  <c r="V35" i="788" s="1"/>
  <c r="P36" i="788"/>
  <c r="Q36" i="788"/>
  <c r="R36" i="788"/>
  <c r="V36" i="788" s="1"/>
  <c r="P37" i="788"/>
  <c r="Q37" i="788"/>
  <c r="R37" i="788"/>
  <c r="V37" i="788" s="1"/>
  <c r="P38" i="788"/>
  <c r="Q38" i="788"/>
  <c r="R38" i="788"/>
  <c r="V38" i="788" s="1"/>
  <c r="P39" i="788"/>
  <c r="Q39" i="788"/>
  <c r="R39" i="788"/>
  <c r="V39" i="788" s="1"/>
  <c r="P40" i="788"/>
  <c r="Q40" i="788"/>
  <c r="R40" i="788"/>
  <c r="V40" i="788" s="1"/>
  <c r="P41" i="788"/>
  <c r="Q41" i="788"/>
  <c r="R41" i="788"/>
  <c r="V41" i="788" s="1"/>
  <c r="P42" i="788"/>
  <c r="Q42" i="788"/>
  <c r="R42" i="788"/>
  <c r="V42" i="788" s="1"/>
  <c r="P43" i="788"/>
  <c r="Q43" i="788"/>
  <c r="R43" i="788"/>
  <c r="V43" i="788" s="1"/>
  <c r="P44" i="788"/>
  <c r="Q44" i="788"/>
  <c r="R44" i="788"/>
  <c r="V44" i="788" s="1"/>
  <c r="P45" i="788"/>
  <c r="Q45" i="788"/>
  <c r="R45" i="788"/>
  <c r="V45" i="788" s="1"/>
  <c r="P46" i="788"/>
  <c r="Q46" i="788"/>
  <c r="R46" i="788"/>
  <c r="V46" i="788" s="1"/>
  <c r="P47" i="788"/>
  <c r="Q47" i="788"/>
  <c r="R47" i="788"/>
  <c r="V47" i="788" s="1"/>
  <c r="P48" i="788"/>
  <c r="Q48" i="788"/>
  <c r="R48" i="788"/>
  <c r="V48" i="788" s="1"/>
  <c r="P49" i="788"/>
  <c r="Q49" i="788"/>
  <c r="R49" i="788"/>
  <c r="V49" i="788" s="1"/>
  <c r="P50" i="788"/>
  <c r="Q50" i="788"/>
  <c r="R50" i="788"/>
  <c r="V50" i="788" s="1"/>
  <c r="P51" i="788"/>
  <c r="Q51" i="788"/>
  <c r="R51" i="788"/>
  <c r="V51" i="788" s="1"/>
  <c r="P52" i="788"/>
  <c r="Q52" i="788"/>
  <c r="R52" i="788"/>
  <c r="V52" i="788" s="1"/>
  <c r="P53" i="788"/>
  <c r="Q53" i="788"/>
  <c r="R53" i="788"/>
  <c r="V53" i="788" s="1"/>
  <c r="P54" i="788"/>
  <c r="Q54" i="788"/>
  <c r="R54" i="788"/>
  <c r="V54" i="788" s="1"/>
  <c r="P55" i="788"/>
  <c r="Q55" i="788"/>
  <c r="R55" i="788"/>
  <c r="V55" i="788" s="1"/>
  <c r="P56" i="788"/>
  <c r="Q56" i="788"/>
  <c r="R56" i="788"/>
  <c r="V56" i="788" s="1"/>
  <c r="P57" i="788"/>
  <c r="Q57" i="788"/>
  <c r="R57" i="788"/>
  <c r="V57" i="788" s="1"/>
  <c r="P58" i="788"/>
  <c r="Q58" i="788"/>
  <c r="R58" i="788"/>
  <c r="V58" i="788" s="1"/>
  <c r="P59" i="788"/>
  <c r="Q59" i="788"/>
  <c r="R59" i="788"/>
  <c r="V59" i="788" s="1"/>
  <c r="P60" i="788"/>
  <c r="Q60" i="788"/>
  <c r="R60" i="788"/>
  <c r="V60" i="788" s="1"/>
  <c r="P61" i="788"/>
  <c r="Q61" i="788"/>
  <c r="R61" i="788"/>
  <c r="V61" i="788" s="1"/>
  <c r="P62" i="788"/>
  <c r="Q62" i="788"/>
  <c r="R62" i="788"/>
  <c r="V62" i="788" s="1"/>
  <c r="P63" i="788"/>
  <c r="Q63" i="788"/>
  <c r="R63" i="788"/>
  <c r="V63" i="788" s="1"/>
  <c r="P64" i="788"/>
  <c r="Q64" i="788"/>
  <c r="R64" i="788"/>
  <c r="V64" i="788" s="1"/>
  <c r="P65" i="788"/>
  <c r="Q65" i="788"/>
  <c r="R65" i="788"/>
  <c r="V65" i="788" s="1"/>
  <c r="P66" i="788"/>
  <c r="Q66" i="788"/>
  <c r="R66" i="788"/>
  <c r="V66" i="788" s="1"/>
  <c r="P67" i="788"/>
  <c r="Q67" i="788"/>
  <c r="R67" i="788"/>
  <c r="V67" i="788" s="1"/>
  <c r="P68" i="788"/>
  <c r="Q68" i="788"/>
  <c r="R68" i="788"/>
  <c r="V68" i="788" s="1"/>
  <c r="P69" i="788"/>
  <c r="Q69" i="788"/>
  <c r="R69" i="788"/>
  <c r="V69" i="788" s="1"/>
  <c r="P70" i="788"/>
  <c r="Q70" i="788"/>
  <c r="R70" i="788"/>
  <c r="V70" i="788" s="1"/>
  <c r="P71" i="788"/>
  <c r="Q71" i="788"/>
  <c r="R71" i="788"/>
  <c r="V71" i="788" s="1"/>
  <c r="P72" i="788"/>
  <c r="Q72" i="788"/>
  <c r="R72" i="788"/>
  <c r="V72" i="788" s="1"/>
  <c r="P73" i="788"/>
  <c r="Q73" i="788"/>
  <c r="R73" i="788"/>
  <c r="V73" i="788" s="1"/>
  <c r="P74" i="788"/>
  <c r="Q74" i="788"/>
  <c r="R74" i="788"/>
  <c r="V74" i="788" s="1"/>
  <c r="P75" i="788"/>
  <c r="Q75" i="788"/>
  <c r="R75" i="788"/>
  <c r="V75" i="788" s="1"/>
  <c r="P76" i="788"/>
  <c r="Q76" i="788"/>
  <c r="R76" i="788"/>
  <c r="V76" i="788" s="1"/>
  <c r="P77" i="788"/>
  <c r="Q77" i="788"/>
  <c r="R77" i="788"/>
  <c r="V77" i="788" s="1"/>
  <c r="P78" i="788"/>
  <c r="Q78" i="788"/>
  <c r="R78" i="788"/>
  <c r="V78" i="788" s="1"/>
  <c r="P79" i="788"/>
  <c r="Q79" i="788"/>
  <c r="R79" i="788"/>
  <c r="V79" i="788" s="1"/>
  <c r="P80" i="788"/>
  <c r="Q80" i="788"/>
  <c r="R80" i="788"/>
  <c r="V80" i="788" s="1"/>
  <c r="P81" i="788"/>
  <c r="Q81" i="788"/>
  <c r="R81" i="788"/>
  <c r="V81" i="788" s="1"/>
  <c r="P82" i="788"/>
  <c r="Q82" i="788"/>
  <c r="R82" i="788"/>
  <c r="V82" i="788" s="1"/>
  <c r="P83" i="788"/>
  <c r="Q83" i="788"/>
  <c r="R83" i="788"/>
  <c r="V83" i="788" s="1"/>
  <c r="P84" i="788"/>
  <c r="Q84" i="788"/>
  <c r="R84" i="788"/>
  <c r="V84" i="788" s="1"/>
  <c r="P85" i="788"/>
  <c r="Q85" i="788"/>
  <c r="R85" i="788"/>
  <c r="V85" i="788" s="1"/>
  <c r="P86" i="788"/>
  <c r="Q86" i="788"/>
  <c r="R86" i="788"/>
  <c r="V86" i="788" s="1"/>
  <c r="P87" i="788"/>
  <c r="Q87" i="788"/>
  <c r="R87" i="788"/>
  <c r="V87" i="788" s="1"/>
  <c r="P8" i="788"/>
  <c r="BE125" i="788" s="1"/>
  <c r="P9" i="788"/>
  <c r="BE126" i="788" s="1"/>
  <c r="K10" i="788"/>
  <c r="K11" i="788"/>
  <c r="K12" i="788"/>
  <c r="K13" i="788"/>
  <c r="K14" i="788"/>
  <c r="K15" i="788"/>
  <c r="K16" i="788"/>
  <c r="K17" i="788"/>
  <c r="K18" i="788"/>
  <c r="K19" i="788"/>
  <c r="K20" i="788"/>
  <c r="K21" i="788"/>
  <c r="K22" i="788"/>
  <c r="K23" i="788"/>
  <c r="J24" i="788"/>
  <c r="K24" i="788"/>
  <c r="J25" i="788"/>
  <c r="K25" i="788"/>
  <c r="J26" i="788"/>
  <c r="K26" i="788"/>
  <c r="J27" i="788"/>
  <c r="K27" i="788"/>
  <c r="J28" i="788"/>
  <c r="K28" i="788"/>
  <c r="J29" i="788"/>
  <c r="K29" i="788"/>
  <c r="J30" i="788"/>
  <c r="K30" i="788"/>
  <c r="J31" i="788"/>
  <c r="K31" i="788"/>
  <c r="J32" i="788"/>
  <c r="K32" i="788"/>
  <c r="J33" i="788"/>
  <c r="K33" i="788"/>
  <c r="J34" i="788"/>
  <c r="K34" i="788"/>
  <c r="J35" i="788"/>
  <c r="K35" i="788"/>
  <c r="J36" i="788"/>
  <c r="K36" i="788"/>
  <c r="J37" i="788"/>
  <c r="K37" i="788"/>
  <c r="J38" i="788"/>
  <c r="K38" i="788"/>
  <c r="J39" i="788"/>
  <c r="K39" i="788"/>
  <c r="J40" i="788"/>
  <c r="K40" i="788"/>
  <c r="J41" i="788"/>
  <c r="K41" i="788"/>
  <c r="J42" i="788"/>
  <c r="K42" i="788"/>
  <c r="J43" i="788"/>
  <c r="K43" i="788"/>
  <c r="J44" i="788"/>
  <c r="K44" i="788"/>
  <c r="J45" i="788"/>
  <c r="K45" i="788"/>
  <c r="J46" i="788"/>
  <c r="K46" i="788"/>
  <c r="J47" i="788"/>
  <c r="K47" i="788"/>
  <c r="J48" i="788"/>
  <c r="K48" i="788"/>
  <c r="J49" i="788"/>
  <c r="K49" i="788"/>
  <c r="J50" i="788"/>
  <c r="K50" i="788"/>
  <c r="J51" i="788"/>
  <c r="K51" i="788"/>
  <c r="J52" i="788"/>
  <c r="K52" i="788"/>
  <c r="J53" i="788"/>
  <c r="K53" i="788"/>
  <c r="J54" i="788"/>
  <c r="K54" i="788"/>
  <c r="J55" i="788"/>
  <c r="K55" i="788"/>
  <c r="J56" i="788"/>
  <c r="K56" i="788"/>
  <c r="J57" i="788"/>
  <c r="K57" i="788"/>
  <c r="J58" i="788"/>
  <c r="K58" i="788"/>
  <c r="J59" i="788"/>
  <c r="K59" i="788"/>
  <c r="J60" i="788"/>
  <c r="K60" i="788"/>
  <c r="J61" i="788"/>
  <c r="K61" i="788"/>
  <c r="J62" i="788"/>
  <c r="K62" i="788"/>
  <c r="J63" i="788"/>
  <c r="K63" i="788"/>
  <c r="J64" i="788"/>
  <c r="K64" i="788"/>
  <c r="J65" i="788"/>
  <c r="K65" i="788"/>
  <c r="J66" i="788"/>
  <c r="K66" i="788"/>
  <c r="J67" i="788"/>
  <c r="K67" i="788"/>
  <c r="J68" i="788"/>
  <c r="K68" i="788"/>
  <c r="J69" i="788"/>
  <c r="K69" i="788"/>
  <c r="J70" i="788"/>
  <c r="K70" i="788"/>
  <c r="J71" i="788"/>
  <c r="K71" i="788"/>
  <c r="J72" i="788"/>
  <c r="K72" i="788"/>
  <c r="J73" i="788"/>
  <c r="K73" i="788"/>
  <c r="J74" i="788"/>
  <c r="K74" i="788"/>
  <c r="J75" i="788"/>
  <c r="K75" i="788"/>
  <c r="J76" i="788"/>
  <c r="K76" i="788"/>
  <c r="J77" i="788"/>
  <c r="K77" i="788"/>
  <c r="J78" i="788"/>
  <c r="K78" i="788"/>
  <c r="J79" i="788"/>
  <c r="K79" i="788"/>
  <c r="J80" i="788"/>
  <c r="K80" i="788"/>
  <c r="J81" i="788"/>
  <c r="K81" i="788"/>
  <c r="J82" i="788"/>
  <c r="K82" i="788"/>
  <c r="J83" i="788"/>
  <c r="K83" i="788"/>
  <c r="J84" i="788"/>
  <c r="K84" i="788"/>
  <c r="J85" i="788"/>
  <c r="K85" i="788"/>
  <c r="J86" i="788"/>
  <c r="K86" i="788"/>
  <c r="J87" i="788"/>
  <c r="K87" i="788"/>
  <c r="K8" i="788"/>
  <c r="C20" i="788"/>
  <c r="S10" i="805" l="1"/>
  <c r="X9" i="805"/>
  <c r="X10" i="805"/>
  <c r="X11" i="805"/>
  <c r="S9" i="805"/>
  <c r="S11" i="805"/>
  <c r="S6" i="805"/>
  <c r="AC88" i="805"/>
  <c r="V6" i="805"/>
  <c r="S8" i="805"/>
  <c r="BU206" i="824"/>
  <c r="BC206" i="824"/>
  <c r="X91" i="805"/>
  <c r="M88" i="805"/>
  <c r="X88" i="805"/>
  <c r="X6" i="805"/>
  <c r="X92" i="805"/>
  <c r="V89" i="805"/>
  <c r="X8" i="805"/>
  <c r="X89" i="805"/>
  <c r="X90" i="805"/>
  <c r="AM125" i="788"/>
  <c r="AM126" i="788"/>
  <c r="P10" i="788"/>
  <c r="K9" i="788"/>
  <c r="O7" i="28"/>
  <c r="O6" i="28"/>
  <c r="O5" i="28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AB8" i="805" l="1"/>
  <c r="BE127" i="788"/>
  <c r="AM127" i="788"/>
  <c r="AB88" i="805" l="1"/>
  <c r="U9" i="404"/>
  <c r="F8" i="406"/>
  <c r="S18" i="802"/>
  <c r="S22" i="802"/>
  <c r="Q9" i="404"/>
  <c r="P10" i="404" s="1"/>
  <c r="S23" i="802" l="1"/>
  <c r="S24" i="802"/>
  <c r="J8" i="802"/>
  <c r="P10" i="802"/>
  <c r="Q9" i="802"/>
  <c r="Q7" i="802"/>
  <c r="J10" i="802"/>
  <c r="J18" i="802" s="1"/>
  <c r="E17" i="802"/>
  <c r="E16" i="802"/>
  <c r="P15" i="802"/>
  <c r="E15" i="802"/>
  <c r="E14" i="802"/>
  <c r="E13" i="802"/>
  <c r="U9" i="802"/>
  <c r="E8" i="802"/>
  <c r="U6" i="802"/>
  <c r="Y4" i="802"/>
  <c r="U4" i="802"/>
  <c r="Y3" i="802"/>
  <c r="E11" i="802" l="1"/>
  <c r="P9" i="802"/>
  <c r="J16" i="802"/>
  <c r="J19" i="802" s="1"/>
  <c r="E10" i="802"/>
  <c r="E12" i="802" a="1"/>
  <c r="M3" i="545" l="1"/>
  <c r="G3" i="545"/>
  <c r="I3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J104" i="103"/>
  <c r="J103" i="103"/>
  <c r="J102" i="103"/>
  <c r="J101" i="103"/>
  <c r="P25" i="4"/>
  <c r="P24" i="4"/>
  <c r="Q14" i="4"/>
  <c r="R14" i="4" s="1"/>
  <c r="O12" i="4"/>
  <c r="R12" i="4" s="1"/>
  <c r="R11" i="4"/>
  <c r="R10" i="4"/>
  <c r="R9" i="4"/>
  <c r="R8" i="4"/>
  <c r="M34" i="155"/>
  <c r="K34" i="155"/>
  <c r="J34" i="155"/>
  <c r="G34" i="155"/>
  <c r="C34" i="155"/>
  <c r="M33" i="155"/>
  <c r="K33" i="155"/>
  <c r="J33" i="155"/>
  <c r="G33" i="155"/>
  <c r="C33" i="155"/>
  <c r="M32" i="155"/>
  <c r="K32" i="155"/>
  <c r="J32" i="155"/>
  <c r="G32" i="155"/>
  <c r="C32" i="155"/>
  <c r="M31" i="155"/>
  <c r="K31" i="155"/>
  <c r="J31" i="155"/>
  <c r="G31" i="155"/>
  <c r="C31" i="155"/>
  <c r="M30" i="155"/>
  <c r="K30" i="155"/>
  <c r="J30" i="155"/>
  <c r="G30" i="155"/>
  <c r="C30" i="155"/>
  <c r="M29" i="155"/>
  <c r="K29" i="155"/>
  <c r="J29" i="155"/>
  <c r="G29" i="155"/>
  <c r="C29" i="155"/>
  <c r="M28" i="155"/>
  <c r="K28" i="155"/>
  <c r="J28" i="155"/>
  <c r="G28" i="155"/>
  <c r="C28" i="155"/>
  <c r="M27" i="155"/>
  <c r="J27" i="155"/>
  <c r="G27" i="155"/>
  <c r="H27" i="155" s="1"/>
  <c r="C27" i="155"/>
  <c r="M26" i="155"/>
  <c r="J26" i="155"/>
  <c r="G26" i="155"/>
  <c r="H26" i="155" s="1"/>
  <c r="C26" i="155"/>
  <c r="M25" i="155"/>
  <c r="J25" i="155"/>
  <c r="G25" i="155"/>
  <c r="H25" i="155" s="1"/>
  <c r="C25" i="155"/>
  <c r="M24" i="155"/>
  <c r="K24" i="155"/>
  <c r="J24" i="155"/>
  <c r="G24" i="155"/>
  <c r="C24" i="155"/>
  <c r="M23" i="155"/>
  <c r="K23" i="155"/>
  <c r="J23" i="155"/>
  <c r="G23" i="155"/>
  <c r="C23" i="155"/>
  <c r="M22" i="155"/>
  <c r="K22" i="155"/>
  <c r="J22" i="155"/>
  <c r="G22" i="155"/>
  <c r="C22" i="155"/>
  <c r="M21" i="155"/>
  <c r="K21" i="155"/>
  <c r="J21" i="155"/>
  <c r="G21" i="155"/>
  <c r="C21" i="155"/>
  <c r="M20" i="155"/>
  <c r="K20" i="155"/>
  <c r="J20" i="155"/>
  <c r="G20" i="155"/>
  <c r="C20" i="155"/>
  <c r="M19" i="155"/>
  <c r="K19" i="155"/>
  <c r="J19" i="155"/>
  <c r="G19" i="155"/>
  <c r="C19" i="155"/>
  <c r="M18" i="155"/>
  <c r="K18" i="155"/>
  <c r="J18" i="155"/>
  <c r="C18" i="155"/>
  <c r="M17" i="155"/>
  <c r="K17" i="155"/>
  <c r="J17" i="155"/>
  <c r="C17" i="155"/>
  <c r="M16" i="155"/>
  <c r="K16" i="155"/>
  <c r="J16" i="155"/>
  <c r="C16" i="155"/>
  <c r="M15" i="155"/>
  <c r="K15" i="155"/>
  <c r="J15" i="155"/>
  <c r="C15" i="155"/>
  <c r="M14" i="155"/>
  <c r="K14" i="155"/>
  <c r="J14" i="155"/>
  <c r="C14" i="155"/>
  <c r="M13" i="155"/>
  <c r="K13" i="155"/>
  <c r="J13" i="155"/>
  <c r="C13" i="155"/>
  <c r="M12" i="155"/>
  <c r="K12" i="155"/>
  <c r="J12" i="155"/>
  <c r="C12" i="155"/>
  <c r="M11" i="155"/>
  <c r="K11" i="155"/>
  <c r="J11" i="155"/>
  <c r="C11" i="155"/>
  <c r="M10" i="155"/>
  <c r="K10" i="155"/>
  <c r="J10" i="155"/>
  <c r="C10" i="155"/>
  <c r="M9" i="155"/>
  <c r="K9" i="155"/>
  <c r="J9" i="155"/>
  <c r="C9" i="155"/>
  <c r="M8" i="155"/>
  <c r="K8" i="155"/>
  <c r="J8" i="155"/>
  <c r="C8" i="155"/>
  <c r="M7" i="155"/>
  <c r="K7" i="155"/>
  <c r="J7" i="155"/>
  <c r="C7" i="155"/>
  <c r="Q3" i="155"/>
  <c r="G5" i="155" s="1"/>
  <c r="P2" i="155"/>
  <c r="O2" i="155"/>
  <c r="B3" i="155" s="1"/>
  <c r="P25" i="404"/>
  <c r="P24" i="404"/>
  <c r="P23" i="404"/>
  <c r="Q22" i="404"/>
  <c r="P22" i="404"/>
  <c r="J17" i="404"/>
  <c r="E17" i="404"/>
  <c r="E16" i="404"/>
  <c r="P15" i="404"/>
  <c r="E15" i="404"/>
  <c r="E14" i="404"/>
  <c r="E13" i="404"/>
  <c r="E11" i="404"/>
  <c r="E8" i="404"/>
  <c r="Q7" i="404"/>
  <c r="U6" i="404"/>
  <c r="Y4" i="404"/>
  <c r="V4" i="404"/>
  <c r="U4" i="404" s="1"/>
  <c r="Y3" i="404"/>
  <c r="H31" i="406"/>
  <c r="E25" i="406"/>
  <c r="D25" i="406"/>
  <c r="E24" i="406"/>
  <c r="D24" i="406"/>
  <c r="E23" i="406"/>
  <c r="D23" i="406"/>
  <c r="E22" i="406"/>
  <c r="D22" i="406"/>
  <c r="E21" i="406"/>
  <c r="D21" i="406"/>
  <c r="E20" i="406"/>
  <c r="D20" i="406"/>
  <c r="E19" i="406"/>
  <c r="D19" i="406"/>
  <c r="E18" i="406"/>
  <c r="D18" i="406"/>
  <c r="R17" i="406"/>
  <c r="E17" i="406"/>
  <c r="D17" i="406"/>
  <c r="E16" i="406"/>
  <c r="D16" i="406"/>
  <c r="E15" i="406"/>
  <c r="D15" i="406"/>
  <c r="J14" i="406"/>
  <c r="H14" i="406"/>
  <c r="D14" i="406"/>
  <c r="J10" i="406"/>
  <c r="R9" i="406"/>
  <c r="J9" i="406"/>
  <c r="V8" i="406"/>
  <c r="F9" i="406"/>
  <c r="N8" i="406"/>
  <c r="J8" i="406"/>
  <c r="R6" i="406"/>
  <c r="V3" i="406"/>
  <c r="H9" i="794"/>
  <c r="H8" i="794"/>
  <c r="H7" i="794"/>
  <c r="H6" i="794"/>
  <c r="BI204" i="788"/>
  <c r="BG204" i="788"/>
  <c r="BD204" i="788"/>
  <c r="BC204" i="788"/>
  <c r="BK204" i="788" s="1"/>
  <c r="BF204" i="788"/>
  <c r="AX204" i="788"/>
  <c r="AW204" i="788"/>
  <c r="AQ204" i="788"/>
  <c r="AO204" i="788"/>
  <c r="AM204" i="788"/>
  <c r="AL204" i="788"/>
  <c r="AK204" i="788"/>
  <c r="AI204" i="788"/>
  <c r="AP204" i="788" s="1"/>
  <c r="AE204" i="788"/>
  <c r="BI203" i="788"/>
  <c r="BG203" i="788"/>
  <c r="BD203" i="788"/>
  <c r="BC203" i="788"/>
  <c r="BK203" i="788" s="1"/>
  <c r="BH203" i="788"/>
  <c r="AX203" i="788"/>
  <c r="AW203" i="788"/>
  <c r="AQ203" i="788"/>
  <c r="AO203" i="788"/>
  <c r="AM203" i="788"/>
  <c r="AL203" i="788"/>
  <c r="AK203" i="788"/>
  <c r="AI203" i="788"/>
  <c r="AE203" i="788"/>
  <c r="BJ202" i="788"/>
  <c r="BI202" i="788"/>
  <c r="BH202" i="788"/>
  <c r="BG202" i="788"/>
  <c r="BF202" i="788"/>
  <c r="BD202" i="788"/>
  <c r="BC202" i="788"/>
  <c r="BK202" i="788" s="1"/>
  <c r="AX202" i="788"/>
  <c r="AW202" i="788"/>
  <c r="AQ202" i="788"/>
  <c r="AO202" i="788"/>
  <c r="AM202" i="788"/>
  <c r="AL202" i="788"/>
  <c r="AK202" i="788"/>
  <c r="AI202" i="788"/>
  <c r="AE202" i="788"/>
  <c r="BI201" i="788"/>
  <c r="BH201" i="788"/>
  <c r="BG201" i="788"/>
  <c r="BD201" i="788"/>
  <c r="BC201" i="788"/>
  <c r="BK201" i="788" s="1"/>
  <c r="BJ201" i="788"/>
  <c r="AX201" i="788"/>
  <c r="AW201" i="788"/>
  <c r="AQ201" i="788"/>
  <c r="AO201" i="788"/>
  <c r="AM201" i="788"/>
  <c r="AL201" i="788"/>
  <c r="AK201" i="788"/>
  <c r="AI201" i="788"/>
  <c r="AP201" i="788" s="1"/>
  <c r="AE201" i="788"/>
  <c r="BJ200" i="788"/>
  <c r="BI200" i="788"/>
  <c r="BG200" i="788"/>
  <c r="BF200" i="788"/>
  <c r="BD200" i="788"/>
  <c r="BC200" i="788"/>
  <c r="BK200" i="788" s="1"/>
  <c r="BH200" i="788"/>
  <c r="AX200" i="788"/>
  <c r="AW200" i="788"/>
  <c r="AR200" i="788"/>
  <c r="AQ200" i="788"/>
  <c r="AO200" i="788"/>
  <c r="AN200" i="788"/>
  <c r="AL200" i="788"/>
  <c r="AK200" i="788"/>
  <c r="AS200" i="788" s="1"/>
  <c r="AP200" i="788"/>
  <c r="AE200" i="788"/>
  <c r="BI199" i="788"/>
  <c r="BG199" i="788"/>
  <c r="BD199" i="788"/>
  <c r="BC199" i="788"/>
  <c r="BK199" i="788" s="1"/>
  <c r="BJ199" i="788"/>
  <c r="AX199" i="788"/>
  <c r="AW199" i="788"/>
  <c r="AQ199" i="788"/>
  <c r="AO199" i="788"/>
  <c r="AL199" i="788"/>
  <c r="AK199" i="788"/>
  <c r="AS199" i="788" s="1"/>
  <c r="AR199" i="788"/>
  <c r="AE199" i="788"/>
  <c r="BI198" i="788"/>
  <c r="BG198" i="788"/>
  <c r="BD198" i="788"/>
  <c r="BC198" i="788"/>
  <c r="BK198" i="788" s="1"/>
  <c r="BJ198" i="788"/>
  <c r="AX198" i="788"/>
  <c r="AW198" i="788"/>
  <c r="AQ198" i="788"/>
  <c r="AO198" i="788"/>
  <c r="AL198" i="788"/>
  <c r="AK198" i="788"/>
  <c r="AS198" i="788" s="1"/>
  <c r="AR198" i="788"/>
  <c r="AE198" i="788"/>
  <c r="BI197" i="788"/>
  <c r="BG197" i="788"/>
  <c r="BD197" i="788"/>
  <c r="BC197" i="788"/>
  <c r="BK197" i="788" s="1"/>
  <c r="BJ197" i="788"/>
  <c r="AX197" i="788"/>
  <c r="AW197" i="788"/>
  <c r="AQ197" i="788"/>
  <c r="AO197" i="788"/>
  <c r="AL197" i="788"/>
  <c r="AK197" i="788"/>
  <c r="AS197" i="788" s="1"/>
  <c r="AR197" i="788"/>
  <c r="AE197" i="788"/>
  <c r="BI196" i="788"/>
  <c r="BG196" i="788"/>
  <c r="BD196" i="788"/>
  <c r="BC196" i="788"/>
  <c r="BK196" i="788" s="1"/>
  <c r="BJ196" i="788"/>
  <c r="AX196" i="788"/>
  <c r="AW196" i="788"/>
  <c r="AQ196" i="788"/>
  <c r="AO196" i="788"/>
  <c r="AL196" i="788"/>
  <c r="AK196" i="788"/>
  <c r="AS196" i="788" s="1"/>
  <c r="AR196" i="788"/>
  <c r="AE196" i="788"/>
  <c r="BJ195" i="788"/>
  <c r="BI195" i="788"/>
  <c r="BG195" i="788"/>
  <c r="BC195" i="788"/>
  <c r="BK195" i="788" s="1"/>
  <c r="BH195" i="788"/>
  <c r="AX195" i="788"/>
  <c r="AW195" i="788"/>
  <c r="AQ195" i="788"/>
  <c r="AO195" i="788"/>
  <c r="AL195" i="788"/>
  <c r="AK195" i="788"/>
  <c r="AS195" i="788" s="1"/>
  <c r="AP195" i="788"/>
  <c r="AE195" i="788"/>
  <c r="BI194" i="788"/>
  <c r="BG194" i="788"/>
  <c r="BD194" i="788"/>
  <c r="BC194" i="788"/>
  <c r="BK194" i="788" s="1"/>
  <c r="BH194" i="788"/>
  <c r="AX194" i="788"/>
  <c r="AW194" i="788"/>
  <c r="AQ194" i="788"/>
  <c r="AO194" i="788"/>
  <c r="AL194" i="788"/>
  <c r="AK194" i="788"/>
  <c r="AS194" i="788" s="1"/>
  <c r="AP194" i="788"/>
  <c r="AE194" i="788"/>
  <c r="BI193" i="788"/>
  <c r="BG193" i="788"/>
  <c r="BD193" i="788"/>
  <c r="BC193" i="788"/>
  <c r="BK193" i="788" s="1"/>
  <c r="BF193" i="788"/>
  <c r="AX193" i="788"/>
  <c r="AW193" i="788"/>
  <c r="AQ193" i="788"/>
  <c r="AO193" i="788"/>
  <c r="AL193" i="788"/>
  <c r="AK193" i="788"/>
  <c r="AS193" i="788" s="1"/>
  <c r="AN193" i="788"/>
  <c r="AE193" i="788"/>
  <c r="BI192" i="788"/>
  <c r="BG192" i="788"/>
  <c r="BD192" i="788"/>
  <c r="BC192" i="788"/>
  <c r="BK192" i="788" s="1"/>
  <c r="BF192" i="788"/>
  <c r="AX192" i="788"/>
  <c r="AW192" i="788"/>
  <c r="AQ192" i="788"/>
  <c r="AO192" i="788"/>
  <c r="AL192" i="788"/>
  <c r="AK192" i="788"/>
  <c r="AS192" i="788" s="1"/>
  <c r="AN192" i="788"/>
  <c r="AE192" i="788"/>
  <c r="BJ191" i="788"/>
  <c r="BI191" i="788"/>
  <c r="BG191" i="788"/>
  <c r="BD191" i="788"/>
  <c r="BC191" i="788"/>
  <c r="BK191" i="788" s="1"/>
  <c r="BH191" i="788"/>
  <c r="AX191" i="788"/>
  <c r="AW191" i="788"/>
  <c r="AQ191" i="788"/>
  <c r="AO191" i="788"/>
  <c r="AL191" i="788"/>
  <c r="AK191" i="788"/>
  <c r="AS191" i="788" s="1"/>
  <c r="AP191" i="788"/>
  <c r="AE191" i="788"/>
  <c r="BI190" i="788"/>
  <c r="BG190" i="788"/>
  <c r="BD190" i="788"/>
  <c r="BC190" i="788"/>
  <c r="BK190" i="788" s="1"/>
  <c r="BJ190" i="788"/>
  <c r="AX190" i="788"/>
  <c r="AW190" i="788"/>
  <c r="AQ190" i="788"/>
  <c r="AO190" i="788"/>
  <c r="AL190" i="788"/>
  <c r="AK190" i="788"/>
  <c r="AS190" i="788" s="1"/>
  <c r="AR190" i="788"/>
  <c r="AE190" i="788"/>
  <c r="BJ189" i="788"/>
  <c r="BI189" i="788"/>
  <c r="BG189" i="788"/>
  <c r="BD189" i="788"/>
  <c r="BC189" i="788"/>
  <c r="BK189" i="788" s="1"/>
  <c r="BH189" i="788"/>
  <c r="AX189" i="788"/>
  <c r="AW189" i="788"/>
  <c r="AQ189" i="788"/>
  <c r="AO189" i="788"/>
  <c r="AL189" i="788"/>
  <c r="AK189" i="788"/>
  <c r="AS189" i="788" s="1"/>
  <c r="AP189" i="788"/>
  <c r="AE189" i="788"/>
  <c r="BI188" i="788"/>
  <c r="BH188" i="788"/>
  <c r="BG188" i="788"/>
  <c r="BF188" i="788"/>
  <c r="BD188" i="788"/>
  <c r="BC188" i="788"/>
  <c r="BK188" i="788" s="1"/>
  <c r="BJ188" i="788"/>
  <c r="AX188" i="788"/>
  <c r="AW188" i="788"/>
  <c r="AQ188" i="788"/>
  <c r="AP188" i="788"/>
  <c r="AO188" i="788"/>
  <c r="AL188" i="788"/>
  <c r="AK188" i="788"/>
  <c r="AS188" i="788" s="1"/>
  <c r="AR188" i="788"/>
  <c r="AE188" i="788"/>
  <c r="BI187" i="788"/>
  <c r="BG187" i="788"/>
  <c r="BD187" i="788"/>
  <c r="BC187" i="788"/>
  <c r="BK187" i="788" s="1"/>
  <c r="BJ187" i="788"/>
  <c r="AX187" i="788"/>
  <c r="AW187" i="788"/>
  <c r="AQ187" i="788"/>
  <c r="AO187" i="788"/>
  <c r="AL187" i="788"/>
  <c r="AK187" i="788"/>
  <c r="AS187" i="788" s="1"/>
  <c r="AN187" i="788"/>
  <c r="AE187" i="788"/>
  <c r="BI186" i="788"/>
  <c r="BG186" i="788"/>
  <c r="BD186" i="788"/>
  <c r="BC186" i="788"/>
  <c r="BK186" i="788" s="1"/>
  <c r="BJ186" i="788"/>
  <c r="AX186" i="788"/>
  <c r="AW186" i="788"/>
  <c r="AQ186" i="788"/>
  <c r="AO186" i="788"/>
  <c r="AN186" i="788"/>
  <c r="AL186" i="788"/>
  <c r="AK186" i="788"/>
  <c r="AS186" i="788" s="1"/>
  <c r="AR186" i="788"/>
  <c r="AE186" i="788"/>
  <c r="BI185" i="788"/>
  <c r="BG185" i="788"/>
  <c r="BF185" i="788"/>
  <c r="BD185" i="788"/>
  <c r="BC185" i="788"/>
  <c r="BK185" i="788" s="1"/>
  <c r="BJ185" i="788"/>
  <c r="AX185" i="788"/>
  <c r="AW185" i="788"/>
  <c r="AQ185" i="788"/>
  <c r="AO185" i="788"/>
  <c r="AL185" i="788"/>
  <c r="AK185" i="788"/>
  <c r="AS185" i="788" s="1"/>
  <c r="AR185" i="788"/>
  <c r="AE185" i="788"/>
  <c r="BI184" i="788"/>
  <c r="BG184" i="788"/>
  <c r="BD184" i="788"/>
  <c r="BC184" i="788"/>
  <c r="BK184" i="788" s="1"/>
  <c r="BJ184" i="788"/>
  <c r="AX184" i="788"/>
  <c r="AW184" i="788"/>
  <c r="AQ184" i="788"/>
  <c r="AO184" i="788"/>
  <c r="AL184" i="788"/>
  <c r="AK184" i="788"/>
  <c r="AS184" i="788" s="1"/>
  <c r="AR184" i="788"/>
  <c r="AE184" i="788"/>
  <c r="BI183" i="788"/>
  <c r="BG183" i="788"/>
  <c r="BD183" i="788"/>
  <c r="BC183" i="788"/>
  <c r="BK183" i="788" s="1"/>
  <c r="BH183" i="788"/>
  <c r="AX183" i="788"/>
  <c r="AW183" i="788"/>
  <c r="AQ183" i="788"/>
  <c r="AO183" i="788"/>
  <c r="AL183" i="788"/>
  <c r="AK183" i="788"/>
  <c r="AS183" i="788" s="1"/>
  <c r="AP183" i="788"/>
  <c r="AE183" i="788"/>
  <c r="BI182" i="788"/>
  <c r="BG182" i="788"/>
  <c r="BD182" i="788"/>
  <c r="BC182" i="788"/>
  <c r="BK182" i="788" s="1"/>
  <c r="BH182" i="788"/>
  <c r="AX182" i="788"/>
  <c r="AW182" i="788"/>
  <c r="AQ182" i="788"/>
  <c r="AO182" i="788"/>
  <c r="AL182" i="788"/>
  <c r="AK182" i="788"/>
  <c r="AS182" i="788" s="1"/>
  <c r="AP182" i="788"/>
  <c r="AE182" i="788"/>
  <c r="BI181" i="788"/>
  <c r="BG181" i="788"/>
  <c r="BD181" i="788"/>
  <c r="BC181" i="788"/>
  <c r="BK181" i="788" s="1"/>
  <c r="BF181" i="788"/>
  <c r="AX181" i="788"/>
  <c r="AW181" i="788"/>
  <c r="AQ181" i="788"/>
  <c r="AO181" i="788"/>
  <c r="AL181" i="788"/>
  <c r="AK181" i="788"/>
  <c r="AS181" i="788" s="1"/>
  <c r="AN181" i="788"/>
  <c r="AE181" i="788"/>
  <c r="BI180" i="788"/>
  <c r="BH180" i="788"/>
  <c r="BG180" i="788"/>
  <c r="BD180" i="788"/>
  <c r="BC180" i="788"/>
  <c r="BK180" i="788" s="1"/>
  <c r="BF180" i="788"/>
  <c r="AX180" i="788"/>
  <c r="AW180" i="788"/>
  <c r="AR180" i="788"/>
  <c r="AQ180" i="788"/>
  <c r="AP180" i="788"/>
  <c r="AO180" i="788"/>
  <c r="AL180" i="788"/>
  <c r="AK180" i="788"/>
  <c r="AS180" i="788" s="1"/>
  <c r="AN180" i="788"/>
  <c r="AE180" i="788"/>
  <c r="BI179" i="788"/>
  <c r="BG179" i="788"/>
  <c r="BD179" i="788"/>
  <c r="BC179" i="788"/>
  <c r="BK179" i="788" s="1"/>
  <c r="BH179" i="788"/>
  <c r="AX179" i="788"/>
  <c r="AW179" i="788"/>
  <c r="AQ179" i="788"/>
  <c r="AO179" i="788"/>
  <c r="AL179" i="788"/>
  <c r="AK179" i="788"/>
  <c r="AS179" i="788" s="1"/>
  <c r="AP179" i="788"/>
  <c r="AE179" i="788"/>
  <c r="BI178" i="788"/>
  <c r="BG178" i="788"/>
  <c r="BD178" i="788"/>
  <c r="BC178" i="788"/>
  <c r="BK178" i="788" s="1"/>
  <c r="BJ178" i="788"/>
  <c r="AX178" i="788"/>
  <c r="AW178" i="788"/>
  <c r="AQ178" i="788"/>
  <c r="AO178" i="788"/>
  <c r="AL178" i="788"/>
  <c r="AK178" i="788"/>
  <c r="AS178" i="788" s="1"/>
  <c r="AR178" i="788"/>
  <c r="AE178" i="788"/>
  <c r="BJ177" i="788"/>
  <c r="BI177" i="788"/>
  <c r="BG177" i="788"/>
  <c r="BF177" i="788"/>
  <c r="BD177" i="788"/>
  <c r="BC177" i="788"/>
  <c r="BK177" i="788" s="1"/>
  <c r="BH177" i="788"/>
  <c r="AX177" i="788"/>
  <c r="AW177" i="788"/>
  <c r="AQ177" i="788"/>
  <c r="AO177" i="788"/>
  <c r="AL177" i="788"/>
  <c r="AK177" i="788"/>
  <c r="AS177" i="788" s="1"/>
  <c r="AP177" i="788"/>
  <c r="AE177" i="788"/>
  <c r="BI176" i="788"/>
  <c r="BG176" i="788"/>
  <c r="BD176" i="788"/>
  <c r="BC176" i="788"/>
  <c r="BK176" i="788" s="1"/>
  <c r="BJ176" i="788"/>
  <c r="AX176" i="788"/>
  <c r="AW176" i="788"/>
  <c r="AQ176" i="788"/>
  <c r="AO176" i="788"/>
  <c r="AL176" i="788"/>
  <c r="AK176" i="788"/>
  <c r="AS176" i="788" s="1"/>
  <c r="AR176" i="788"/>
  <c r="AE176" i="788"/>
  <c r="BI175" i="788"/>
  <c r="BG175" i="788"/>
  <c r="BD175" i="788"/>
  <c r="BC175" i="788"/>
  <c r="BK175" i="788" s="1"/>
  <c r="BF175" i="788"/>
  <c r="AX175" i="788"/>
  <c r="AW175" i="788"/>
  <c r="AQ175" i="788"/>
  <c r="AO175" i="788"/>
  <c r="AL175" i="788"/>
  <c r="AK175" i="788"/>
  <c r="AS175" i="788" s="1"/>
  <c r="AP175" i="788"/>
  <c r="AE175" i="788"/>
  <c r="BI174" i="788"/>
  <c r="BG174" i="788"/>
  <c r="BD174" i="788"/>
  <c r="BC174" i="788"/>
  <c r="BK174" i="788" s="1"/>
  <c r="BJ174" i="788"/>
  <c r="AX174" i="788"/>
  <c r="AW174" i="788"/>
  <c r="AQ174" i="788"/>
  <c r="AO174" i="788"/>
  <c r="AN174" i="788"/>
  <c r="AL174" i="788"/>
  <c r="AK174" i="788"/>
  <c r="AS174" i="788" s="1"/>
  <c r="AR174" i="788"/>
  <c r="AE174" i="788"/>
  <c r="BI173" i="788"/>
  <c r="BG173" i="788"/>
  <c r="BF173" i="788"/>
  <c r="BD173" i="788"/>
  <c r="BC173" i="788"/>
  <c r="BK173" i="788" s="1"/>
  <c r="BJ173" i="788"/>
  <c r="AX173" i="788"/>
  <c r="AW173" i="788"/>
  <c r="AQ173" i="788"/>
  <c r="AO173" i="788"/>
  <c r="AL173" i="788"/>
  <c r="AK173" i="788"/>
  <c r="AS173" i="788" s="1"/>
  <c r="AR173" i="788"/>
  <c r="AE173" i="788"/>
  <c r="BI172" i="788"/>
  <c r="BG172" i="788"/>
  <c r="BD172" i="788"/>
  <c r="BC172" i="788"/>
  <c r="BK172" i="788" s="1"/>
  <c r="BJ172" i="788"/>
  <c r="AX172" i="788"/>
  <c r="AW172" i="788"/>
  <c r="AQ172" i="788"/>
  <c r="AO172" i="788"/>
  <c r="AL172" i="788"/>
  <c r="AK172" i="788"/>
  <c r="AS172" i="788" s="1"/>
  <c r="AR172" i="788"/>
  <c r="AE172" i="788"/>
  <c r="BJ171" i="788"/>
  <c r="BI171" i="788"/>
  <c r="BG171" i="788"/>
  <c r="BD171" i="788"/>
  <c r="BC171" i="788"/>
  <c r="BK171" i="788" s="1"/>
  <c r="BH171" i="788"/>
  <c r="AX171" i="788"/>
  <c r="AW171" i="788"/>
  <c r="AQ171" i="788"/>
  <c r="AO171" i="788"/>
  <c r="AL171" i="788"/>
  <c r="AK171" i="788"/>
  <c r="AS171" i="788" s="1"/>
  <c r="AP171" i="788"/>
  <c r="AE171" i="788"/>
  <c r="BI170" i="788"/>
  <c r="BG170" i="788"/>
  <c r="BD170" i="788"/>
  <c r="BC170" i="788"/>
  <c r="BK170" i="788" s="1"/>
  <c r="BH170" i="788"/>
  <c r="AX170" i="788"/>
  <c r="AW170" i="788"/>
  <c r="AQ170" i="788"/>
  <c r="AO170" i="788"/>
  <c r="AL170" i="788"/>
  <c r="AK170" i="788"/>
  <c r="AS170" i="788" s="1"/>
  <c r="AP170" i="788"/>
  <c r="AE170" i="788"/>
  <c r="BI169" i="788"/>
  <c r="BG169" i="788"/>
  <c r="BD169" i="788"/>
  <c r="BC169" i="788"/>
  <c r="BK169" i="788" s="1"/>
  <c r="BF169" i="788"/>
  <c r="AX169" i="788"/>
  <c r="AW169" i="788"/>
  <c r="AQ169" i="788"/>
  <c r="AO169" i="788"/>
  <c r="AL169" i="788"/>
  <c r="AK169" i="788"/>
  <c r="AS169" i="788" s="1"/>
  <c r="AN169" i="788"/>
  <c r="AE169" i="788"/>
  <c r="BI168" i="788"/>
  <c r="BG168" i="788"/>
  <c r="BD168" i="788"/>
  <c r="BC168" i="788"/>
  <c r="BK168" i="788" s="1"/>
  <c r="BF168" i="788"/>
  <c r="AX168" i="788"/>
  <c r="AW168" i="788"/>
  <c r="AR168" i="788"/>
  <c r="AQ168" i="788"/>
  <c r="AP168" i="788"/>
  <c r="AO168" i="788"/>
  <c r="AL168" i="788"/>
  <c r="AK168" i="788"/>
  <c r="AS168" i="788" s="1"/>
  <c r="AN168" i="788"/>
  <c r="AE168" i="788"/>
  <c r="BJ167" i="788"/>
  <c r="BI167" i="788"/>
  <c r="BG167" i="788"/>
  <c r="BD167" i="788"/>
  <c r="BC167" i="788"/>
  <c r="BK167" i="788" s="1"/>
  <c r="BH167" i="788"/>
  <c r="AX167" i="788"/>
  <c r="AW167" i="788"/>
  <c r="AQ167" i="788"/>
  <c r="AO167" i="788"/>
  <c r="AN167" i="788"/>
  <c r="AL167" i="788"/>
  <c r="AK167" i="788"/>
  <c r="AS167" i="788" s="1"/>
  <c r="AP167" i="788"/>
  <c r="AE167" i="788"/>
  <c r="BI166" i="788"/>
  <c r="BG166" i="788"/>
  <c r="BD166" i="788"/>
  <c r="BC166" i="788"/>
  <c r="BK166" i="788" s="1"/>
  <c r="BJ166" i="788"/>
  <c r="AX166" i="788"/>
  <c r="AW166" i="788"/>
  <c r="AQ166" i="788"/>
  <c r="AO166" i="788"/>
  <c r="AL166" i="788"/>
  <c r="AK166" i="788"/>
  <c r="AS166" i="788" s="1"/>
  <c r="AR166" i="788"/>
  <c r="AE166" i="788"/>
  <c r="BI165" i="788"/>
  <c r="BG165" i="788"/>
  <c r="BF165" i="788"/>
  <c r="BD165" i="788"/>
  <c r="BC165" i="788"/>
  <c r="BK165" i="788" s="1"/>
  <c r="BH165" i="788"/>
  <c r="AX165" i="788"/>
  <c r="AW165" i="788"/>
  <c r="AR165" i="788"/>
  <c r="AQ165" i="788"/>
  <c r="AO165" i="788"/>
  <c r="AL165" i="788"/>
  <c r="AK165" i="788"/>
  <c r="AS165" i="788" s="1"/>
  <c r="AP165" i="788"/>
  <c r="AE165" i="788"/>
  <c r="BJ164" i="788"/>
  <c r="BI164" i="788"/>
  <c r="BH164" i="788"/>
  <c r="BG164" i="788"/>
  <c r="BF164" i="788"/>
  <c r="BD164" i="788"/>
  <c r="BC164" i="788"/>
  <c r="BK164" i="788" s="1"/>
  <c r="AX164" i="788"/>
  <c r="AW164" i="788"/>
  <c r="AR164" i="788"/>
  <c r="AQ164" i="788"/>
  <c r="AP164" i="788"/>
  <c r="AO164" i="788"/>
  <c r="AN164" i="788"/>
  <c r="AL164" i="788"/>
  <c r="AK164" i="788"/>
  <c r="AS164" i="788" s="1"/>
  <c r="AE164" i="788"/>
  <c r="BI163" i="788"/>
  <c r="BG163" i="788"/>
  <c r="BD163" i="788"/>
  <c r="BC163" i="788"/>
  <c r="BK163" i="788" s="1"/>
  <c r="BH163" i="788"/>
  <c r="AX163" i="788"/>
  <c r="AW163" i="788"/>
  <c r="AQ163" i="788"/>
  <c r="AO163" i="788"/>
  <c r="AL163" i="788"/>
  <c r="AK163" i="788"/>
  <c r="AS163" i="788" s="1"/>
  <c r="AN163" i="788"/>
  <c r="AE163" i="788"/>
  <c r="BI162" i="788"/>
  <c r="BG162" i="788"/>
  <c r="BD162" i="788"/>
  <c r="BC162" i="788"/>
  <c r="BK162" i="788" s="1"/>
  <c r="BJ162" i="788"/>
  <c r="AX162" i="788"/>
  <c r="AW162" i="788"/>
  <c r="AQ162" i="788"/>
  <c r="AO162" i="788"/>
  <c r="AN162" i="788"/>
  <c r="AL162" i="788"/>
  <c r="AK162" i="788"/>
  <c r="AS162" i="788" s="1"/>
  <c r="AR162" i="788"/>
  <c r="AE162" i="788"/>
  <c r="BI161" i="788"/>
  <c r="BG161" i="788"/>
  <c r="BF161" i="788"/>
  <c r="BD161" i="788"/>
  <c r="BC161" i="788"/>
  <c r="BK161" i="788" s="1"/>
  <c r="BJ161" i="788"/>
  <c r="AX161" i="788"/>
  <c r="AW161" i="788"/>
  <c r="AQ161" i="788"/>
  <c r="AO161" i="788"/>
  <c r="AL161" i="788"/>
  <c r="AK161" i="788"/>
  <c r="AS161" i="788" s="1"/>
  <c r="AR161" i="788"/>
  <c r="AE161" i="788"/>
  <c r="BI160" i="788"/>
  <c r="BG160" i="788"/>
  <c r="BD160" i="788"/>
  <c r="BC160" i="788"/>
  <c r="BK160" i="788" s="1"/>
  <c r="BJ160" i="788"/>
  <c r="AX160" i="788"/>
  <c r="AW160" i="788"/>
  <c r="AQ160" i="788"/>
  <c r="AO160" i="788"/>
  <c r="AL160" i="788"/>
  <c r="AK160" i="788"/>
  <c r="AS160" i="788" s="1"/>
  <c r="AR160" i="788"/>
  <c r="AE160" i="788"/>
  <c r="BJ159" i="788"/>
  <c r="BI159" i="788"/>
  <c r="BG159" i="788"/>
  <c r="BD159" i="788"/>
  <c r="BC159" i="788"/>
  <c r="BK159" i="788" s="1"/>
  <c r="BH159" i="788"/>
  <c r="AX159" i="788"/>
  <c r="AW159" i="788"/>
  <c r="AQ159" i="788"/>
  <c r="AO159" i="788"/>
  <c r="AL159" i="788"/>
  <c r="AK159" i="788"/>
  <c r="AS159" i="788" s="1"/>
  <c r="AP159" i="788"/>
  <c r="AE159" i="788"/>
  <c r="BI158" i="788"/>
  <c r="BG158" i="788"/>
  <c r="BD158" i="788"/>
  <c r="BC158" i="788"/>
  <c r="BK158" i="788" s="1"/>
  <c r="BH158" i="788"/>
  <c r="AX158" i="788"/>
  <c r="AW158" i="788"/>
  <c r="AQ158" i="788"/>
  <c r="AO158" i="788"/>
  <c r="AL158" i="788"/>
  <c r="AK158" i="788"/>
  <c r="AS158" i="788" s="1"/>
  <c r="AP158" i="788"/>
  <c r="AE158" i="788"/>
  <c r="BI157" i="788"/>
  <c r="BG157" i="788"/>
  <c r="BD157" i="788"/>
  <c r="BC157" i="788"/>
  <c r="BK157" i="788" s="1"/>
  <c r="BF157" i="788"/>
  <c r="AX157" i="788"/>
  <c r="AW157" i="788"/>
  <c r="AQ157" i="788"/>
  <c r="AO157" i="788"/>
  <c r="AL157" i="788"/>
  <c r="AK157" i="788"/>
  <c r="AS157" i="788" s="1"/>
  <c r="AN157" i="788"/>
  <c r="AE157" i="788"/>
  <c r="BI156" i="788"/>
  <c r="BH156" i="788"/>
  <c r="BG156" i="788"/>
  <c r="BD156" i="788"/>
  <c r="BC156" i="788"/>
  <c r="BK156" i="788" s="1"/>
  <c r="BF156" i="788"/>
  <c r="AX156" i="788"/>
  <c r="AW156" i="788"/>
  <c r="AR156" i="788"/>
  <c r="AQ156" i="788"/>
  <c r="AP156" i="788"/>
  <c r="AO156" i="788"/>
  <c r="AL156" i="788"/>
  <c r="AK156" i="788"/>
  <c r="AS156" i="788" s="1"/>
  <c r="AN156" i="788"/>
  <c r="AE156" i="788"/>
  <c r="BJ155" i="788"/>
  <c r="BI155" i="788"/>
  <c r="BG155" i="788"/>
  <c r="BD155" i="788"/>
  <c r="BC155" i="788"/>
  <c r="BK155" i="788" s="1"/>
  <c r="BH155" i="788"/>
  <c r="AX155" i="788"/>
  <c r="AW155" i="788"/>
  <c r="AQ155" i="788"/>
  <c r="AO155" i="788"/>
  <c r="AL155" i="788"/>
  <c r="AK155" i="788"/>
  <c r="AS155" i="788" s="1"/>
  <c r="AP155" i="788"/>
  <c r="AE155" i="788"/>
  <c r="BI154" i="788"/>
  <c r="BG154" i="788"/>
  <c r="BD154" i="788"/>
  <c r="BC154" i="788"/>
  <c r="BK154" i="788" s="1"/>
  <c r="BJ154" i="788"/>
  <c r="AX154" i="788"/>
  <c r="AW154" i="788"/>
  <c r="AQ154" i="788"/>
  <c r="AO154" i="788"/>
  <c r="AL154" i="788"/>
  <c r="AK154" i="788"/>
  <c r="AS154" i="788" s="1"/>
  <c r="AR154" i="788"/>
  <c r="AE154" i="788"/>
  <c r="BJ153" i="788"/>
  <c r="BI153" i="788"/>
  <c r="BG153" i="788"/>
  <c r="BF153" i="788"/>
  <c r="BD153" i="788"/>
  <c r="BC153" i="788"/>
  <c r="BK153" i="788" s="1"/>
  <c r="BH153" i="788"/>
  <c r="AX153" i="788"/>
  <c r="AW153" i="788"/>
  <c r="AR153" i="788"/>
  <c r="AQ153" i="788"/>
  <c r="AO153" i="788"/>
  <c r="AN153" i="788"/>
  <c r="AL153" i="788"/>
  <c r="AK153" i="788"/>
  <c r="AS153" i="788" s="1"/>
  <c r="AP153" i="788"/>
  <c r="AE153" i="788"/>
  <c r="BI152" i="788"/>
  <c r="BH152" i="788"/>
  <c r="BG152" i="788"/>
  <c r="BD152" i="788"/>
  <c r="BC152" i="788"/>
  <c r="BK152" i="788" s="1"/>
  <c r="BJ152" i="788"/>
  <c r="AX152" i="788"/>
  <c r="AW152" i="788"/>
  <c r="AQ152" i="788"/>
  <c r="AP152" i="788"/>
  <c r="AO152" i="788"/>
  <c r="AL152" i="788"/>
  <c r="AK152" i="788"/>
  <c r="AS152" i="788" s="1"/>
  <c r="AR152" i="788"/>
  <c r="AE152" i="788"/>
  <c r="BI151" i="788"/>
  <c r="BG151" i="788"/>
  <c r="BD151" i="788"/>
  <c r="BC151" i="788"/>
  <c r="BK151" i="788" s="1"/>
  <c r="BJ151" i="788"/>
  <c r="AX151" i="788"/>
  <c r="AW151" i="788"/>
  <c r="AQ151" i="788"/>
  <c r="AO151" i="788"/>
  <c r="AL151" i="788"/>
  <c r="AK151" i="788"/>
  <c r="AS151" i="788" s="1"/>
  <c r="AN151" i="788"/>
  <c r="AE151" i="788"/>
  <c r="BI150" i="788"/>
  <c r="BG150" i="788"/>
  <c r="BD150" i="788"/>
  <c r="BC150" i="788"/>
  <c r="BK150" i="788" s="1"/>
  <c r="BJ150" i="788"/>
  <c r="AX150" i="788"/>
  <c r="AW150" i="788"/>
  <c r="AQ150" i="788"/>
  <c r="AO150" i="788"/>
  <c r="AL150" i="788"/>
  <c r="AK150" i="788"/>
  <c r="AS150" i="788" s="1"/>
  <c r="AR150" i="788"/>
  <c r="AE150" i="788"/>
  <c r="BI149" i="788"/>
  <c r="BG149" i="788"/>
  <c r="BF149" i="788"/>
  <c r="BD149" i="788"/>
  <c r="BC149" i="788"/>
  <c r="BK149" i="788" s="1"/>
  <c r="BJ149" i="788"/>
  <c r="AX149" i="788"/>
  <c r="AW149" i="788"/>
  <c r="AQ149" i="788"/>
  <c r="AO149" i="788"/>
  <c r="AL149" i="788"/>
  <c r="AK149" i="788"/>
  <c r="AS149" i="788" s="1"/>
  <c r="AR149" i="788"/>
  <c r="AE149" i="788"/>
  <c r="BI148" i="788"/>
  <c r="BG148" i="788"/>
  <c r="BD148" i="788"/>
  <c r="BC148" i="788"/>
  <c r="BK148" i="788" s="1"/>
  <c r="BJ148" i="788"/>
  <c r="AX148" i="788"/>
  <c r="AW148" i="788"/>
  <c r="AQ148" i="788"/>
  <c r="AO148" i="788"/>
  <c r="AL148" i="788"/>
  <c r="AK148" i="788"/>
  <c r="AS148" i="788" s="1"/>
  <c r="AR148" i="788"/>
  <c r="AE148" i="788"/>
  <c r="BJ147" i="788"/>
  <c r="BI147" i="788"/>
  <c r="BG147" i="788"/>
  <c r="BD147" i="788"/>
  <c r="BC147" i="788"/>
  <c r="BK147" i="788" s="1"/>
  <c r="BH147" i="788"/>
  <c r="AX147" i="788"/>
  <c r="AW147" i="788"/>
  <c r="AQ147" i="788"/>
  <c r="AO147" i="788"/>
  <c r="AL147" i="788"/>
  <c r="AK147" i="788"/>
  <c r="AS147" i="788" s="1"/>
  <c r="AP147" i="788"/>
  <c r="AE147" i="788"/>
  <c r="BI146" i="788"/>
  <c r="BG146" i="788"/>
  <c r="BD146" i="788"/>
  <c r="BC146" i="788"/>
  <c r="BK146" i="788" s="1"/>
  <c r="BH146" i="788"/>
  <c r="AX146" i="788"/>
  <c r="AW146" i="788"/>
  <c r="AQ146" i="788"/>
  <c r="AO146" i="788"/>
  <c r="AL146" i="788"/>
  <c r="AK146" i="788"/>
  <c r="AS146" i="788" s="1"/>
  <c r="AP146" i="788"/>
  <c r="AE146" i="788"/>
  <c r="BI145" i="788"/>
  <c r="BG145" i="788"/>
  <c r="BD145" i="788"/>
  <c r="BC145" i="788"/>
  <c r="BK145" i="788" s="1"/>
  <c r="BF145" i="788"/>
  <c r="AX145" i="788"/>
  <c r="AW145" i="788"/>
  <c r="AQ145" i="788"/>
  <c r="AO145" i="788"/>
  <c r="AL145" i="788"/>
  <c r="AK145" i="788"/>
  <c r="AS145" i="788" s="1"/>
  <c r="AN145" i="788"/>
  <c r="AE145" i="788"/>
  <c r="BI144" i="788"/>
  <c r="BH144" i="788"/>
  <c r="BG144" i="788"/>
  <c r="BD144" i="788"/>
  <c r="BC144" i="788"/>
  <c r="BK144" i="788" s="1"/>
  <c r="BF144" i="788"/>
  <c r="AX144" i="788"/>
  <c r="AW144" i="788"/>
  <c r="AQ144" i="788"/>
  <c r="AO144" i="788"/>
  <c r="AL144" i="788"/>
  <c r="AK144" i="788"/>
  <c r="AS144" i="788" s="1"/>
  <c r="AN144" i="788"/>
  <c r="AE144" i="788"/>
  <c r="BI143" i="788"/>
  <c r="BG143" i="788"/>
  <c r="BD143" i="788"/>
  <c r="BC143" i="788"/>
  <c r="BK143" i="788" s="1"/>
  <c r="BH143" i="788"/>
  <c r="AX143" i="788"/>
  <c r="AW143" i="788"/>
  <c r="AQ143" i="788"/>
  <c r="AO143" i="788"/>
  <c r="AN143" i="788"/>
  <c r="AL143" i="788"/>
  <c r="AK143" i="788"/>
  <c r="AS143" i="788" s="1"/>
  <c r="AP143" i="788"/>
  <c r="AE143" i="788"/>
  <c r="BI142" i="788"/>
  <c r="BG142" i="788"/>
  <c r="BD142" i="788"/>
  <c r="BC142" i="788"/>
  <c r="BK142" i="788" s="1"/>
  <c r="BJ142" i="788"/>
  <c r="AX142" i="788"/>
  <c r="AW142" i="788"/>
  <c r="AQ142" i="788"/>
  <c r="AO142" i="788"/>
  <c r="AL142" i="788"/>
  <c r="AK142" i="788"/>
  <c r="AS142" i="788" s="1"/>
  <c r="AR142" i="788"/>
  <c r="AE142" i="788"/>
  <c r="BI141" i="788"/>
  <c r="BG141" i="788"/>
  <c r="BD141" i="788"/>
  <c r="BC141" i="788"/>
  <c r="BK141" i="788" s="1"/>
  <c r="BH141" i="788"/>
  <c r="AX141" i="788"/>
  <c r="AW141" i="788"/>
  <c r="AQ141" i="788"/>
  <c r="AO141" i="788"/>
  <c r="AL141" i="788"/>
  <c r="AK141" i="788"/>
  <c r="AS141" i="788" s="1"/>
  <c r="AP141" i="788"/>
  <c r="AE141" i="788"/>
  <c r="BJ140" i="788"/>
  <c r="BI140" i="788"/>
  <c r="BH140" i="788"/>
  <c r="BG140" i="788"/>
  <c r="BF140" i="788"/>
  <c r="BD140" i="788"/>
  <c r="BC140" i="788"/>
  <c r="BK140" i="788" s="1"/>
  <c r="AX140" i="788"/>
  <c r="AW140" i="788"/>
  <c r="AR140" i="788"/>
  <c r="AQ140" i="788"/>
  <c r="AP140" i="788"/>
  <c r="AO140" i="788"/>
  <c r="AN140" i="788"/>
  <c r="AL140" i="788"/>
  <c r="AK140" i="788"/>
  <c r="AS140" i="788" s="1"/>
  <c r="AE140" i="788"/>
  <c r="BI139" i="788"/>
  <c r="BG139" i="788"/>
  <c r="BD139" i="788"/>
  <c r="BC139" i="788"/>
  <c r="BK139" i="788" s="1"/>
  <c r="BH139" i="788"/>
  <c r="AX139" i="788"/>
  <c r="AW139" i="788"/>
  <c r="AQ139" i="788"/>
  <c r="AO139" i="788"/>
  <c r="AL139" i="788"/>
  <c r="AK139" i="788"/>
  <c r="AS139" i="788" s="1"/>
  <c r="AR139" i="788"/>
  <c r="AE139" i="788"/>
  <c r="BI138" i="788"/>
  <c r="BG138" i="788"/>
  <c r="BD138" i="788"/>
  <c r="BC138" i="788"/>
  <c r="BK138" i="788" s="1"/>
  <c r="BJ138" i="788"/>
  <c r="AQ138" i="788"/>
  <c r="AL138" i="788"/>
  <c r="AK138" i="788"/>
  <c r="AS138" i="788" s="1"/>
  <c r="AR138" i="788"/>
  <c r="BI137" i="788"/>
  <c r="BD137" i="788"/>
  <c r="BC137" i="788"/>
  <c r="BK137" i="788" s="1"/>
  <c r="BF137" i="788"/>
  <c r="AQ137" i="788"/>
  <c r="AL137" i="788"/>
  <c r="AK137" i="788"/>
  <c r="AS137" i="788" s="1"/>
  <c r="AN137" i="788"/>
  <c r="BI136" i="788"/>
  <c r="BD136" i="788"/>
  <c r="BC136" i="788"/>
  <c r="BK136" i="788" s="1"/>
  <c r="BF136" i="788"/>
  <c r="AQ136" i="788"/>
  <c r="AL136" i="788"/>
  <c r="AK136" i="788"/>
  <c r="AS136" i="788" s="1"/>
  <c r="AN136" i="788"/>
  <c r="BI135" i="788"/>
  <c r="BD135" i="788"/>
  <c r="BC135" i="788"/>
  <c r="BK135" i="788" s="1"/>
  <c r="BJ135" i="788"/>
  <c r="AQ135" i="788"/>
  <c r="AL135" i="788"/>
  <c r="AK135" i="788"/>
  <c r="AS135" i="788" s="1"/>
  <c r="AR135" i="788"/>
  <c r="BI134" i="788"/>
  <c r="BD134" i="788"/>
  <c r="BC134" i="788"/>
  <c r="BK134" i="788" s="1"/>
  <c r="BF134" i="788"/>
  <c r="AX134" i="788"/>
  <c r="AR134" i="788"/>
  <c r="AQ134" i="788"/>
  <c r="AL134" i="788"/>
  <c r="AK134" i="788"/>
  <c r="AS134" i="788" s="1"/>
  <c r="AN134" i="788"/>
  <c r="BI133" i="788"/>
  <c r="BD133" i="788"/>
  <c r="BC133" i="788"/>
  <c r="BK133" i="788" s="1"/>
  <c r="BJ133" i="788"/>
  <c r="AQ133" i="788"/>
  <c r="AL133" i="788"/>
  <c r="AK133" i="788"/>
  <c r="AS133" i="788" s="1"/>
  <c r="AR133" i="788"/>
  <c r="BI132" i="788"/>
  <c r="BD132" i="788"/>
  <c r="BC132" i="788"/>
  <c r="BK132" i="788" s="1"/>
  <c r="BH132" i="788"/>
  <c r="AQ132" i="788"/>
  <c r="AL132" i="788"/>
  <c r="AK132" i="788"/>
  <c r="AS132" i="788" s="1"/>
  <c r="AN132" i="788"/>
  <c r="BI131" i="788"/>
  <c r="BD131" i="788"/>
  <c r="BC131" i="788"/>
  <c r="BK131" i="788" s="1"/>
  <c r="BJ131" i="788"/>
  <c r="AQ131" i="788"/>
  <c r="AL131" i="788"/>
  <c r="AK131" i="788"/>
  <c r="AS131" i="788" s="1"/>
  <c r="AR131" i="788"/>
  <c r="BI130" i="788"/>
  <c r="BD130" i="788"/>
  <c r="BC130" i="788"/>
  <c r="BK130" i="788" s="1"/>
  <c r="BJ130" i="788"/>
  <c r="AQ130" i="788"/>
  <c r="AL130" i="788"/>
  <c r="AK130" i="788"/>
  <c r="AS130" i="788" s="1"/>
  <c r="AR130" i="788"/>
  <c r="BI129" i="788"/>
  <c r="BD129" i="788"/>
  <c r="BC129" i="788"/>
  <c r="BK129" i="788" s="1"/>
  <c r="BH129" i="788"/>
  <c r="AQ129" i="788"/>
  <c r="AL129" i="788"/>
  <c r="AK129" i="788"/>
  <c r="AS129" i="788" s="1"/>
  <c r="AP129" i="788"/>
  <c r="BI128" i="788"/>
  <c r="BD128" i="788"/>
  <c r="BC128" i="788"/>
  <c r="BK128" i="788" s="1"/>
  <c r="BF128" i="788"/>
  <c r="AQ128" i="788"/>
  <c r="AL128" i="788"/>
  <c r="AK128" i="788"/>
  <c r="AS128" i="788" s="1"/>
  <c r="AR128" i="788"/>
  <c r="BI127" i="788"/>
  <c r="BD127" i="788"/>
  <c r="BC127" i="788"/>
  <c r="AQ127" i="788"/>
  <c r="AL127" i="788"/>
  <c r="AK127" i="788"/>
  <c r="BI126" i="788"/>
  <c r="BD126" i="788"/>
  <c r="BC126" i="788"/>
  <c r="AQ126" i="788"/>
  <c r="AL126" i="788"/>
  <c r="AK126" i="788"/>
  <c r="BI125" i="788"/>
  <c r="BD125" i="788"/>
  <c r="BC125" i="788"/>
  <c r="AW125" i="788"/>
  <c r="AW126" i="788" s="1"/>
  <c r="AW127" i="788" s="1"/>
  <c r="AW128" i="788" s="1"/>
  <c r="AW129" i="788" s="1"/>
  <c r="AW130" i="788" s="1"/>
  <c r="AW131" i="788" s="1"/>
  <c r="AW132" i="788" s="1"/>
  <c r="AW133" i="788" s="1"/>
  <c r="AW134" i="788" s="1"/>
  <c r="AW135" i="788" s="1"/>
  <c r="AW136" i="788" s="1"/>
  <c r="AW137" i="788" s="1"/>
  <c r="AW138" i="788" s="1"/>
  <c r="AQ125" i="788"/>
  <c r="AP125" i="788" s="1"/>
  <c r="AL125" i="788"/>
  <c r="AK125" i="788"/>
  <c r="AE125" i="788"/>
  <c r="AE126" i="788" s="1"/>
  <c r="AE127" i="788" s="1"/>
  <c r="AE128" i="788" s="1"/>
  <c r="AE129" i="788" s="1"/>
  <c r="AE130" i="788" s="1"/>
  <c r="AE131" i="788" s="1"/>
  <c r="AE132" i="788" s="1"/>
  <c r="AE133" i="788" s="1"/>
  <c r="AE134" i="788" s="1"/>
  <c r="AE135" i="788" s="1"/>
  <c r="AE136" i="788" s="1"/>
  <c r="AE137" i="788" s="1"/>
  <c r="AE138" i="788" s="1"/>
  <c r="AZ121" i="788"/>
  <c r="AH121" i="788"/>
  <c r="BK120" i="788"/>
  <c r="AZ120" i="788"/>
  <c r="AS120" i="788"/>
  <c r="AH120" i="788"/>
  <c r="AZ119" i="788"/>
  <c r="AH119" i="788"/>
  <c r="BE117" i="788"/>
  <c r="AM116" i="788"/>
  <c r="AH116" i="788"/>
  <c r="AH115" i="788"/>
  <c r="AH114" i="788"/>
  <c r="Q90" i="788"/>
  <c r="X87" i="788"/>
  <c r="U87" i="788"/>
  <c r="S87" i="788"/>
  <c r="AF204" i="788"/>
  <c r="X86" i="788"/>
  <c r="U86" i="788"/>
  <c r="S86" i="788"/>
  <c r="AF203" i="788"/>
  <c r="X85" i="788"/>
  <c r="U85" i="788"/>
  <c r="S85" i="788"/>
  <c r="AF202" i="788"/>
  <c r="X84" i="788"/>
  <c r="U84" i="788"/>
  <c r="S84" i="788"/>
  <c r="AF201" i="788"/>
  <c r="X83" i="788"/>
  <c r="U83" i="788"/>
  <c r="S83" i="788"/>
  <c r="Z83" i="788"/>
  <c r="AF200" i="788"/>
  <c r="X82" i="788"/>
  <c r="U82" i="788"/>
  <c r="S82" i="788"/>
  <c r="Z82" i="788"/>
  <c r="AF199" i="788"/>
  <c r="X81" i="788"/>
  <c r="U81" i="788"/>
  <c r="S81" i="788"/>
  <c r="Z81" i="788"/>
  <c r="AF198" i="788"/>
  <c r="X80" i="788"/>
  <c r="U80" i="788"/>
  <c r="S80" i="788"/>
  <c r="Z80" i="788"/>
  <c r="AF197" i="788"/>
  <c r="X79" i="788"/>
  <c r="U79" i="788"/>
  <c r="S79" i="788"/>
  <c r="AF196" i="788"/>
  <c r="X78" i="788"/>
  <c r="U78" i="788"/>
  <c r="S78" i="788"/>
  <c r="Z78" i="788"/>
  <c r="AF195" i="788"/>
  <c r="X77" i="788"/>
  <c r="U77" i="788"/>
  <c r="S77" i="788"/>
  <c r="AF194" i="788"/>
  <c r="X76" i="788"/>
  <c r="U76" i="788"/>
  <c r="S76" i="788"/>
  <c r="Z76" i="788"/>
  <c r="AF193" i="788"/>
  <c r="X75" i="788"/>
  <c r="U75" i="788"/>
  <c r="S75" i="788"/>
  <c r="AF192" i="788"/>
  <c r="X74" i="788"/>
  <c r="U74" i="788"/>
  <c r="S74" i="788"/>
  <c r="AF191" i="788"/>
  <c r="X73" i="788"/>
  <c r="U73" i="788"/>
  <c r="S73" i="788"/>
  <c r="AF190" i="788"/>
  <c r="X72" i="788"/>
  <c r="U72" i="788"/>
  <c r="S72" i="788"/>
  <c r="AF189" i="788"/>
  <c r="X71" i="788"/>
  <c r="U71" i="788"/>
  <c r="S71" i="788"/>
  <c r="Z71" i="788"/>
  <c r="AF188" i="788"/>
  <c r="X70" i="788"/>
  <c r="U70" i="788"/>
  <c r="S70" i="788"/>
  <c r="AF187" i="788"/>
  <c r="X69" i="788"/>
  <c r="U69" i="788"/>
  <c r="S69" i="788"/>
  <c r="AF186" i="788"/>
  <c r="X68" i="788"/>
  <c r="U68" i="788"/>
  <c r="S68" i="788"/>
  <c r="Z68" i="788"/>
  <c r="AF185" i="788"/>
  <c r="X67" i="788"/>
  <c r="U67" i="788"/>
  <c r="S67" i="788"/>
  <c r="AF184" i="788"/>
  <c r="X66" i="788"/>
  <c r="U66" i="788"/>
  <c r="S66" i="788"/>
  <c r="Z66" i="788"/>
  <c r="AF183" i="788"/>
  <c r="X65" i="788"/>
  <c r="U65" i="788"/>
  <c r="S65" i="788"/>
  <c r="Z65" i="788"/>
  <c r="AF182" i="788"/>
  <c r="X64" i="788"/>
  <c r="U64" i="788"/>
  <c r="S64" i="788"/>
  <c r="AF181" i="788"/>
  <c r="X63" i="788"/>
  <c r="U63" i="788"/>
  <c r="S63" i="788"/>
  <c r="AF180" i="788"/>
  <c r="X62" i="788"/>
  <c r="U62" i="788"/>
  <c r="S62" i="788"/>
  <c r="AF179" i="788"/>
  <c r="X61" i="788"/>
  <c r="U61" i="788"/>
  <c r="S61" i="788"/>
  <c r="AF178" i="788"/>
  <c r="X60" i="788"/>
  <c r="U60" i="788"/>
  <c r="S60" i="788"/>
  <c r="AF177" i="788"/>
  <c r="X59" i="788"/>
  <c r="U59" i="788"/>
  <c r="S59" i="788"/>
  <c r="AF176" i="788"/>
  <c r="X58" i="788"/>
  <c r="U58" i="788"/>
  <c r="S58" i="788"/>
  <c r="AF175" i="788"/>
  <c r="X57" i="788"/>
  <c r="U57" i="788"/>
  <c r="S57" i="788"/>
  <c r="AF174" i="788"/>
  <c r="X56" i="788"/>
  <c r="U56" i="788"/>
  <c r="S56" i="788"/>
  <c r="Z56" i="788"/>
  <c r="AF173" i="788"/>
  <c r="X55" i="788"/>
  <c r="U55" i="788"/>
  <c r="S55" i="788"/>
  <c r="AF172" i="788"/>
  <c r="X54" i="788"/>
  <c r="U54" i="788"/>
  <c r="S54" i="788"/>
  <c r="AF171" i="788"/>
  <c r="X53" i="788"/>
  <c r="U53" i="788"/>
  <c r="S53" i="788"/>
  <c r="AF170" i="788"/>
  <c r="X52" i="788"/>
  <c r="U52" i="788"/>
  <c r="S52" i="788"/>
  <c r="Z52" i="788"/>
  <c r="AF169" i="788"/>
  <c r="X51" i="788"/>
  <c r="U51" i="788"/>
  <c r="S51" i="788"/>
  <c r="Z51" i="788"/>
  <c r="AF168" i="788"/>
  <c r="X50" i="788"/>
  <c r="U50" i="788"/>
  <c r="S50" i="788"/>
  <c r="AF167" i="788"/>
  <c r="X49" i="788"/>
  <c r="U49" i="788"/>
  <c r="S49" i="788"/>
  <c r="Z49" i="788"/>
  <c r="AF166" i="788"/>
  <c r="X48" i="788"/>
  <c r="U48" i="788"/>
  <c r="S48" i="788"/>
  <c r="AF165" i="788"/>
  <c r="X47" i="788"/>
  <c r="U47" i="788"/>
  <c r="S47" i="788"/>
  <c r="Z47" i="788"/>
  <c r="AF164" i="788"/>
  <c r="X46" i="788"/>
  <c r="U46" i="788"/>
  <c r="S46" i="788"/>
  <c r="AF163" i="788"/>
  <c r="X45" i="788"/>
  <c r="U45" i="788"/>
  <c r="S45" i="788"/>
  <c r="Z45" i="788"/>
  <c r="AF162" i="788"/>
  <c r="X44" i="788"/>
  <c r="U44" i="788"/>
  <c r="S44" i="788"/>
  <c r="Z44" i="788"/>
  <c r="AF161" i="788"/>
  <c r="X43" i="788"/>
  <c r="U43" i="788"/>
  <c r="S43" i="788"/>
  <c r="AF160" i="788"/>
  <c r="X42" i="788"/>
  <c r="U42" i="788"/>
  <c r="S42" i="788"/>
  <c r="Z42" i="788"/>
  <c r="AF159" i="788"/>
  <c r="X41" i="788"/>
  <c r="U41" i="788"/>
  <c r="S41" i="788"/>
  <c r="AF158" i="788"/>
  <c r="X40" i="788"/>
  <c r="U40" i="788"/>
  <c r="S40" i="788"/>
  <c r="Z40" i="788"/>
  <c r="AF157" i="788"/>
  <c r="X39" i="788"/>
  <c r="U39" i="788"/>
  <c r="S39" i="788"/>
  <c r="Z39" i="788"/>
  <c r="AF156" i="788"/>
  <c r="X38" i="788"/>
  <c r="U38" i="788"/>
  <c r="S38" i="788"/>
  <c r="Z38" i="788"/>
  <c r="AF155" i="788"/>
  <c r="X37" i="788"/>
  <c r="U37" i="788"/>
  <c r="S37" i="788"/>
  <c r="Z37" i="788"/>
  <c r="AF154" i="788"/>
  <c r="X36" i="788"/>
  <c r="U36" i="788"/>
  <c r="S36" i="788"/>
  <c r="AF153" i="788"/>
  <c r="X35" i="788"/>
  <c r="U35" i="788"/>
  <c r="S35" i="788"/>
  <c r="Z35" i="788"/>
  <c r="AF152" i="788"/>
  <c r="X34" i="788"/>
  <c r="U34" i="788"/>
  <c r="S34" i="788"/>
  <c r="Z34" i="788"/>
  <c r="AF151" i="788"/>
  <c r="X33" i="788"/>
  <c r="U33" i="788"/>
  <c r="S33" i="788"/>
  <c r="Z33" i="788"/>
  <c r="AF150" i="788"/>
  <c r="X32" i="788"/>
  <c r="U32" i="788"/>
  <c r="S32" i="788"/>
  <c r="Z32" i="788"/>
  <c r="AF149" i="788"/>
  <c r="X31" i="788"/>
  <c r="U31" i="788"/>
  <c r="S31" i="788"/>
  <c r="AF148" i="788"/>
  <c r="X30" i="788"/>
  <c r="U30" i="788"/>
  <c r="S30" i="788"/>
  <c r="Z30" i="788"/>
  <c r="AF147" i="788"/>
  <c r="X29" i="788"/>
  <c r="U29" i="788"/>
  <c r="S29" i="788"/>
  <c r="Z29" i="788"/>
  <c r="AF146" i="788"/>
  <c r="X28" i="788"/>
  <c r="U28" i="788"/>
  <c r="S28" i="788"/>
  <c r="AF145" i="788"/>
  <c r="X27" i="788"/>
  <c r="U27" i="788"/>
  <c r="S27" i="788"/>
  <c r="AF144" i="788"/>
  <c r="X26" i="788"/>
  <c r="U26" i="788"/>
  <c r="S26" i="788"/>
  <c r="AF143" i="788"/>
  <c r="X25" i="788"/>
  <c r="U25" i="788"/>
  <c r="S25" i="788"/>
  <c r="AF142" i="788"/>
  <c r="X24" i="788"/>
  <c r="U24" i="788"/>
  <c r="S24" i="788"/>
  <c r="Z24" i="788"/>
  <c r="AF141" i="788"/>
  <c r="X23" i="788"/>
  <c r="U23" i="788"/>
  <c r="S23" i="788"/>
  <c r="AF140" i="788"/>
  <c r="X22" i="788"/>
  <c r="U22" i="788"/>
  <c r="S22" i="788"/>
  <c r="Z22" i="788"/>
  <c r="AF139" i="788"/>
  <c r="U21" i="788"/>
  <c r="S21" i="788"/>
  <c r="Z21" i="788"/>
  <c r="AF138" i="788"/>
  <c r="AX138" i="788"/>
  <c r="U20" i="788"/>
  <c r="S20" i="788"/>
  <c r="Z20" i="788"/>
  <c r="AX137" i="788"/>
  <c r="F20" i="788"/>
  <c r="U19" i="788"/>
  <c r="S19" i="788"/>
  <c r="AX136" i="788"/>
  <c r="U18" i="788"/>
  <c r="S18" i="788"/>
  <c r="AF135" i="788"/>
  <c r="AX135" i="788"/>
  <c r="U17" i="788"/>
  <c r="S17" i="788"/>
  <c r="AF134" i="788"/>
  <c r="U16" i="788"/>
  <c r="S16" i="788"/>
  <c r="AF133" i="788"/>
  <c r="AX133" i="788"/>
  <c r="U15" i="788"/>
  <c r="S15" i="788"/>
  <c r="Z15" i="788"/>
  <c r="AF132" i="788"/>
  <c r="AX132" i="788"/>
  <c r="U14" i="788"/>
  <c r="S14" i="788"/>
  <c r="AX131" i="788"/>
  <c r="X13" i="788"/>
  <c r="U13" i="788"/>
  <c r="S13" i="788"/>
  <c r="Z13" i="788"/>
  <c r="AF130" i="788"/>
  <c r="U12" i="788"/>
  <c r="S12" i="788"/>
  <c r="Z12" i="788"/>
  <c r="AF129" i="788"/>
  <c r="U11" i="788"/>
  <c r="S11" i="788"/>
  <c r="Z11" i="788"/>
  <c r="AF128" i="788"/>
  <c r="AX128" i="788"/>
  <c r="S10" i="788"/>
  <c r="AX127" i="788"/>
  <c r="E10" i="788"/>
  <c r="S9" i="788"/>
  <c r="AX126" i="788"/>
  <c r="BK121" i="788"/>
  <c r="D9" i="788"/>
  <c r="S8" i="788"/>
  <c r="J8" i="788"/>
  <c r="J9" i="788" s="1"/>
  <c r="J10" i="788" s="1"/>
  <c r="AX125" i="788"/>
  <c r="E7" i="788"/>
  <c r="E6" i="788" s="1"/>
  <c r="D7" i="788"/>
  <c r="D6" i="788" s="1"/>
  <c r="C7" i="788"/>
  <c r="C6" i="788" s="1"/>
  <c r="Y6" i="788"/>
  <c r="X6" i="788"/>
  <c r="R4" i="788"/>
  <c r="R8" i="788" s="1"/>
  <c r="C84" i="229"/>
  <c r="H84" i="229" s="1"/>
  <c r="B84" i="229"/>
  <c r="G84" i="229" s="1"/>
  <c r="C83" i="229"/>
  <c r="H83" i="229" s="1"/>
  <c r="B83" i="229"/>
  <c r="G83" i="229" s="1"/>
  <c r="C82" i="229"/>
  <c r="H82" i="229" s="1"/>
  <c r="B82" i="229"/>
  <c r="G82" i="229" s="1"/>
  <c r="C81" i="229"/>
  <c r="H81" i="229" s="1"/>
  <c r="B81" i="229"/>
  <c r="G81" i="229" s="1"/>
  <c r="C80" i="229"/>
  <c r="H80" i="229" s="1"/>
  <c r="B80" i="229"/>
  <c r="G80" i="229" s="1"/>
  <c r="C79" i="229"/>
  <c r="H79" i="229" s="1"/>
  <c r="B79" i="229"/>
  <c r="G79" i="229" s="1"/>
  <c r="C78" i="229"/>
  <c r="H78" i="229" s="1"/>
  <c r="B78" i="229"/>
  <c r="G78" i="229" s="1"/>
  <c r="C77" i="229"/>
  <c r="H77" i="229" s="1"/>
  <c r="B77" i="229"/>
  <c r="G77" i="229" s="1"/>
  <c r="C76" i="229"/>
  <c r="H76" i="229" s="1"/>
  <c r="B76" i="229"/>
  <c r="G76" i="229" s="1"/>
  <c r="C75" i="229"/>
  <c r="H75" i="229" s="1"/>
  <c r="B75" i="229"/>
  <c r="G75" i="229" s="1"/>
  <c r="C74" i="229"/>
  <c r="H74" i="229" s="1"/>
  <c r="B74" i="229"/>
  <c r="G74" i="229" s="1"/>
  <c r="C73" i="229"/>
  <c r="H73" i="229" s="1"/>
  <c r="B73" i="229"/>
  <c r="G73" i="229" s="1"/>
  <c r="C72" i="229"/>
  <c r="H72" i="229" s="1"/>
  <c r="B72" i="229"/>
  <c r="G72" i="229" s="1"/>
  <c r="F70" i="229"/>
  <c r="B68" i="229"/>
  <c r="C60" i="229"/>
  <c r="H60" i="229" s="1"/>
  <c r="C59" i="229"/>
  <c r="H59" i="229" s="1"/>
  <c r="C58" i="229"/>
  <c r="H58" i="229" s="1"/>
  <c r="C57" i="229"/>
  <c r="C56" i="229"/>
  <c r="G56" i="229" s="1"/>
  <c r="C55" i="229"/>
  <c r="G55" i="229" s="1"/>
  <c r="C54" i="229"/>
  <c r="G54" i="229" s="1"/>
  <c r="C53" i="229"/>
  <c r="G53" i="229" s="1"/>
  <c r="C52" i="229"/>
  <c r="G52" i="229" s="1"/>
  <c r="C51" i="229"/>
  <c r="G51" i="229" s="1"/>
  <c r="C50" i="229"/>
  <c r="C49" i="229"/>
  <c r="G49" i="229" s="1"/>
  <c r="C48" i="229"/>
  <c r="G48" i="229" s="1"/>
  <c r="F46" i="229"/>
  <c r="B44" i="229"/>
  <c r="C30" i="229"/>
  <c r="C29" i="229"/>
  <c r="C28" i="229"/>
  <c r="C27" i="229"/>
  <c r="C26" i="229"/>
  <c r="C25" i="229"/>
  <c r="C24" i="229"/>
  <c r="C23" i="229"/>
  <c r="C22" i="229"/>
  <c r="C21" i="229"/>
  <c r="C20" i="229"/>
  <c r="C19" i="229"/>
  <c r="C18" i="229"/>
  <c r="C17" i="229"/>
  <c r="C16" i="229"/>
  <c r="C15" i="229"/>
  <c r="C14" i="229"/>
  <c r="C13" i="229"/>
  <c r="C12" i="229"/>
  <c r="C11" i="229"/>
  <c r="F11" i="229" s="1"/>
  <c r="C10" i="229"/>
  <c r="F10" i="229" s="1"/>
  <c r="C9" i="229"/>
  <c r="F9" i="229" s="1"/>
  <c r="C8" i="229"/>
  <c r="F8" i="229" s="1"/>
  <c r="C7" i="229"/>
  <c r="O5" i="229"/>
  <c r="N5" i="229"/>
  <c r="P5" i="229" s="1"/>
  <c r="L4" i="229"/>
  <c r="H4" i="229"/>
  <c r="G4" i="229"/>
  <c r="M3" i="229"/>
  <c r="AI2" i="509"/>
  <c r="AJ2" i="509" s="1"/>
  <c r="AH3" i="509" s="1"/>
  <c r="AH2" i="509"/>
  <c r="AI1" i="509"/>
  <c r="BY208" i="825" l="1"/>
  <c r="BG208" i="825"/>
  <c r="BY207" i="825"/>
  <c r="BG207" i="825"/>
  <c r="BY206" i="825"/>
  <c r="BG206" i="825"/>
  <c r="BY205" i="825"/>
  <c r="BG205" i="825"/>
  <c r="BY127" i="825"/>
  <c r="BU127" i="825"/>
  <c r="BW127" i="825"/>
  <c r="BG127" i="825"/>
  <c r="BE127" i="825"/>
  <c r="BC127" i="825"/>
  <c r="BY126" i="825"/>
  <c r="BW126" i="825"/>
  <c r="BU126" i="825"/>
  <c r="BC126" i="825"/>
  <c r="BG126" i="825"/>
  <c r="BE126" i="825"/>
  <c r="BY125" i="825"/>
  <c r="BW125" i="825"/>
  <c r="BU125" i="825"/>
  <c r="BC125" i="825"/>
  <c r="BG125" i="825"/>
  <c r="BT127" i="824"/>
  <c r="BB127" i="824"/>
  <c r="BT126" i="824"/>
  <c r="BB126" i="824"/>
  <c r="BR127" i="824"/>
  <c r="BP127" i="824"/>
  <c r="AZ127" i="824"/>
  <c r="BR126" i="824"/>
  <c r="AX126" i="824"/>
  <c r="BP126" i="824"/>
  <c r="AZ126" i="824"/>
  <c r="AX127" i="824"/>
  <c r="AZ125" i="824"/>
  <c r="G7" i="229"/>
  <c r="BT208" i="824"/>
  <c r="BT205" i="824"/>
  <c r="BB208" i="824"/>
  <c r="BT207" i="824"/>
  <c r="BB207" i="824"/>
  <c r="BT206" i="824"/>
  <c r="BB206" i="824"/>
  <c r="BB205" i="824"/>
  <c r="BR125" i="824"/>
  <c r="BP125" i="824"/>
  <c r="AX125" i="824"/>
  <c r="BB125" i="824"/>
  <c r="BT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AS202" i="788"/>
  <c r="I28" i="24"/>
  <c r="I29" i="24"/>
  <c r="I27" i="24"/>
  <c r="I35" i="24"/>
  <c r="AP202" i="788"/>
  <c r="I31" i="24"/>
  <c r="AP203" i="788"/>
  <c r="AS203" i="788"/>
  <c r="AR201" i="788"/>
  <c r="AS201" i="788"/>
  <c r="AR202" i="788"/>
  <c r="AN204" i="788"/>
  <c r="AS204" i="788"/>
  <c r="H37" i="24"/>
  <c r="I12" i="26"/>
  <c r="H9" i="26" s="1"/>
  <c r="H40" i="26"/>
  <c r="I26" i="24"/>
  <c r="I30" i="24"/>
  <c r="AN202" i="788"/>
  <c r="R9" i="788"/>
  <c r="V9" i="788" s="1"/>
  <c r="R10" i="788"/>
  <c r="Z10" i="788" s="1"/>
  <c r="BF127" i="788"/>
  <c r="U9" i="788"/>
  <c r="BJ126" i="788"/>
  <c r="U10" i="788"/>
  <c r="AN127" i="788"/>
  <c r="AR126" i="788"/>
  <c r="Q6" i="788"/>
  <c r="Q9" i="788"/>
  <c r="Q10" i="788"/>
  <c r="BJ141" i="788"/>
  <c r="AN173" i="788"/>
  <c r="AN188" i="788"/>
  <c r="AN201" i="788"/>
  <c r="BF201" i="788"/>
  <c r="AN152" i="788"/>
  <c r="BF152" i="788"/>
  <c r="AN177" i="788"/>
  <c r="BF179" i="788"/>
  <c r="AN150" i="788"/>
  <c r="AN155" i="788"/>
  <c r="AN161" i="788"/>
  <c r="BF141" i="788"/>
  <c r="AP144" i="788"/>
  <c r="BF176" i="788"/>
  <c r="AN179" i="788"/>
  <c r="AN141" i="788"/>
  <c r="BF143" i="788"/>
  <c r="AN176" i="788"/>
  <c r="AR177" i="788"/>
  <c r="BJ179" i="788"/>
  <c r="BJ183" i="788"/>
  <c r="AN185" i="788"/>
  <c r="AP192" i="788"/>
  <c r="AR204" i="788"/>
  <c r="AR144" i="788"/>
  <c r="BH168" i="788"/>
  <c r="BH176" i="788"/>
  <c r="BF191" i="788"/>
  <c r="AR141" i="788"/>
  <c r="BJ143" i="788"/>
  <c r="AN149" i="788"/>
  <c r="AN165" i="788"/>
  <c r="BF167" i="788"/>
  <c r="AN191" i="788"/>
  <c r="AN197" i="788"/>
  <c r="AP176" i="788"/>
  <c r="AR192" i="788"/>
  <c r="BJ203" i="788"/>
  <c r="BJ165" i="788"/>
  <c r="AR189" i="788"/>
  <c r="BH130" i="788"/>
  <c r="AP145" i="788"/>
  <c r="BH149" i="788"/>
  <c r="AP157" i="788"/>
  <c r="BH161" i="788"/>
  <c r="AP169" i="788"/>
  <c r="BH173" i="788"/>
  <c r="AP181" i="788"/>
  <c r="BH185" i="788"/>
  <c r="AP193" i="788"/>
  <c r="BH197" i="788"/>
  <c r="BH204" i="788"/>
  <c r="AR147" i="788"/>
  <c r="AP149" i="788"/>
  <c r="AR159" i="788"/>
  <c r="AP161" i="788"/>
  <c r="AR171" i="788"/>
  <c r="AP173" i="788"/>
  <c r="AR183" i="788"/>
  <c r="AP185" i="788"/>
  <c r="AR195" i="788"/>
  <c r="AP197" i="788"/>
  <c r="BH192" i="788"/>
  <c r="BF203" i="788"/>
  <c r="BJ204" i="788"/>
  <c r="AN203" i="788"/>
  <c r="BJ144" i="788"/>
  <c r="BF155" i="788"/>
  <c r="BJ156" i="788"/>
  <c r="BJ168" i="788"/>
  <c r="BJ180" i="788"/>
  <c r="BJ192" i="788"/>
  <c r="AN142" i="788"/>
  <c r="BF142" i="788"/>
  <c r="BF150" i="788"/>
  <c r="AN154" i="788"/>
  <c r="BF154" i="788"/>
  <c r="BF162" i="788"/>
  <c r="AN166" i="788"/>
  <c r="BF166" i="788"/>
  <c r="BF174" i="788"/>
  <c r="AN178" i="788"/>
  <c r="BF178" i="788"/>
  <c r="BF186" i="788"/>
  <c r="AN190" i="788"/>
  <c r="BF190" i="788"/>
  <c r="AR203" i="788"/>
  <c r="AN189" i="788"/>
  <c r="BF189" i="788"/>
  <c r="BH137" i="788"/>
  <c r="AP142" i="788"/>
  <c r="BH142" i="788"/>
  <c r="AR143" i="788"/>
  <c r="AP154" i="788"/>
  <c r="BH154" i="788"/>
  <c r="AR155" i="788"/>
  <c r="AP166" i="788"/>
  <c r="BH166" i="788"/>
  <c r="AR167" i="788"/>
  <c r="AP178" i="788"/>
  <c r="BH178" i="788"/>
  <c r="AR179" i="788"/>
  <c r="AP190" i="788"/>
  <c r="BH190" i="788"/>
  <c r="AR191" i="788"/>
  <c r="BH145" i="788"/>
  <c r="BH157" i="788"/>
  <c r="BH169" i="788"/>
  <c r="BH181" i="788"/>
  <c r="BH193" i="788"/>
  <c r="BF197" i="788"/>
  <c r="BH128" i="788"/>
  <c r="AP132" i="788"/>
  <c r="BJ137" i="788"/>
  <c r="AP130" i="788"/>
  <c r="AR132" i="788"/>
  <c r="BF132" i="788"/>
  <c r="BF135" i="788"/>
  <c r="BG136" i="788"/>
  <c r="BF138" i="788"/>
  <c r="X15" i="788"/>
  <c r="AP134" i="788"/>
  <c r="X18" i="788"/>
  <c r="AN130" i="788"/>
  <c r="AO136" i="788"/>
  <c r="AP137" i="788"/>
  <c r="BJ128" i="788"/>
  <c r="AR137" i="788"/>
  <c r="AN128" i="788"/>
  <c r="BJ132" i="788"/>
  <c r="AP128" i="788"/>
  <c r="BH134" i="788"/>
  <c r="BJ134" i="788"/>
  <c r="BF126" i="788"/>
  <c r="AN135" i="788"/>
  <c r="AN126" i="788"/>
  <c r="AF126" i="788"/>
  <c r="AF127" i="788"/>
  <c r="X17" i="788"/>
  <c r="AP127" i="788"/>
  <c r="BH127" i="788"/>
  <c r="AR129" i="788"/>
  <c r="BJ129" i="788"/>
  <c r="AO135" i="788"/>
  <c r="BG135" i="788"/>
  <c r="AP136" i="788"/>
  <c r="BH136" i="788"/>
  <c r="X16" i="788"/>
  <c r="AP126" i="788"/>
  <c r="BH126" i="788"/>
  <c r="AX130" i="788"/>
  <c r="AN133" i="788"/>
  <c r="BF133" i="788"/>
  <c r="AO134" i="788"/>
  <c r="BG134" i="788"/>
  <c r="AP135" i="788"/>
  <c r="BH135" i="788"/>
  <c r="AR127" i="788"/>
  <c r="BJ127" i="788"/>
  <c r="AO133" i="788"/>
  <c r="BG133" i="788"/>
  <c r="AR136" i="788"/>
  <c r="BJ136" i="788"/>
  <c r="X14" i="788"/>
  <c r="AF136" i="788"/>
  <c r="AF137" i="788"/>
  <c r="AX129" i="788"/>
  <c r="AN131" i="788"/>
  <c r="BF131" i="788"/>
  <c r="AO132" i="788"/>
  <c r="BG132" i="788"/>
  <c r="AP133" i="788"/>
  <c r="BH133" i="788"/>
  <c r="AO131" i="788"/>
  <c r="BG131" i="788"/>
  <c r="X12" i="788"/>
  <c r="AP131" i="788"/>
  <c r="BH131" i="788"/>
  <c r="X11" i="788"/>
  <c r="BG130" i="788"/>
  <c r="AF131" i="788"/>
  <c r="AN129" i="788"/>
  <c r="BF129" i="788"/>
  <c r="AO130" i="788"/>
  <c r="AN138" i="788"/>
  <c r="X21" i="788"/>
  <c r="AO129" i="788"/>
  <c r="BG129" i="788"/>
  <c r="AO138" i="788"/>
  <c r="X19" i="788"/>
  <c r="X20" i="788"/>
  <c r="AO128" i="788"/>
  <c r="BG128" i="788"/>
  <c r="AO137" i="788"/>
  <c r="BG137" i="788"/>
  <c r="AR146" i="788"/>
  <c r="BJ146" i="788"/>
  <c r="AR158" i="788"/>
  <c r="BJ158" i="788"/>
  <c r="AR170" i="788"/>
  <c r="BJ170" i="788"/>
  <c r="AR182" i="788"/>
  <c r="BJ182" i="788"/>
  <c r="AR194" i="788"/>
  <c r="BJ194" i="788"/>
  <c r="AR145" i="788"/>
  <c r="BJ145" i="788"/>
  <c r="AR157" i="788"/>
  <c r="BJ157" i="788"/>
  <c r="AR169" i="788"/>
  <c r="BJ169" i="788"/>
  <c r="AR181" i="788"/>
  <c r="BJ181" i="788"/>
  <c r="AR193" i="788"/>
  <c r="BJ193" i="788"/>
  <c r="BF139" i="788"/>
  <c r="AN199" i="788"/>
  <c r="BF199" i="788"/>
  <c r="AN198" i="788"/>
  <c r="BF198" i="788"/>
  <c r="BH175" i="788"/>
  <c r="AP199" i="788"/>
  <c r="BH199" i="788"/>
  <c r="AN175" i="788"/>
  <c r="AP151" i="788"/>
  <c r="AP163" i="788"/>
  <c r="AP187" i="788"/>
  <c r="BH187" i="788"/>
  <c r="AP138" i="788"/>
  <c r="BH138" i="788"/>
  <c r="AN148" i="788"/>
  <c r="BF148" i="788"/>
  <c r="AP150" i="788"/>
  <c r="BH150" i="788"/>
  <c r="AN160" i="788"/>
  <c r="BF160" i="788"/>
  <c r="AP162" i="788"/>
  <c r="BH162" i="788"/>
  <c r="AN172" i="788"/>
  <c r="BF172" i="788"/>
  <c r="AP174" i="788"/>
  <c r="BH174" i="788"/>
  <c r="AN184" i="788"/>
  <c r="BF184" i="788"/>
  <c r="AP186" i="788"/>
  <c r="BH186" i="788"/>
  <c r="AN196" i="788"/>
  <c r="BF196" i="788"/>
  <c r="AP198" i="788"/>
  <c r="BH198" i="788"/>
  <c r="AN139" i="788"/>
  <c r="BF151" i="788"/>
  <c r="BF163" i="788"/>
  <c r="BF187" i="788"/>
  <c r="AP139" i="788"/>
  <c r="BH151" i="788"/>
  <c r="BJ139" i="788"/>
  <c r="AN147" i="788"/>
  <c r="BF147" i="788"/>
  <c r="AR151" i="788"/>
  <c r="AN159" i="788"/>
  <c r="BF159" i="788"/>
  <c r="AR163" i="788"/>
  <c r="BJ163" i="788"/>
  <c r="AN171" i="788"/>
  <c r="BF171" i="788"/>
  <c r="AR175" i="788"/>
  <c r="BJ175" i="788"/>
  <c r="AN183" i="788"/>
  <c r="BF183" i="788"/>
  <c r="AR187" i="788"/>
  <c r="AN195" i="788"/>
  <c r="BF195" i="788"/>
  <c r="AN146" i="788"/>
  <c r="BF146" i="788"/>
  <c r="AP148" i="788"/>
  <c r="BH148" i="788"/>
  <c r="AN158" i="788"/>
  <c r="BF158" i="788"/>
  <c r="AP160" i="788"/>
  <c r="BH160" i="788"/>
  <c r="AN170" i="788"/>
  <c r="BF170" i="788"/>
  <c r="AP172" i="788"/>
  <c r="BH172" i="788"/>
  <c r="AN182" i="788"/>
  <c r="BF182" i="788"/>
  <c r="AP184" i="788"/>
  <c r="BH184" i="788"/>
  <c r="AN194" i="788"/>
  <c r="BF194" i="788"/>
  <c r="AP196" i="788"/>
  <c r="BH196" i="788"/>
  <c r="BF130" i="788"/>
  <c r="U90" i="788"/>
  <c r="Y7" i="788"/>
  <c r="Y88" i="788"/>
  <c r="S6" i="788"/>
  <c r="G50" i="229"/>
  <c r="F50" i="229"/>
  <c r="H34" i="155"/>
  <c r="H28" i="155"/>
  <c r="H20" i="155"/>
  <c r="Z77" i="788"/>
  <c r="G59" i="229"/>
  <c r="Z73" i="788"/>
  <c r="Z74" i="788"/>
  <c r="Z75" i="788"/>
  <c r="H22" i="155"/>
  <c r="Z53" i="788"/>
  <c r="H30" i="155"/>
  <c r="H29" i="155"/>
  <c r="Z87" i="788"/>
  <c r="Z70" i="788"/>
  <c r="Z79" i="788"/>
  <c r="Z31" i="788"/>
  <c r="H32" i="155"/>
  <c r="Z64" i="788"/>
  <c r="Z67" i="788"/>
  <c r="Z46" i="788"/>
  <c r="Z61" i="788"/>
  <c r="H23" i="155"/>
  <c r="Z25" i="788"/>
  <c r="Z23" i="788"/>
  <c r="H21" i="155"/>
  <c r="H31" i="155"/>
  <c r="G57" i="229"/>
  <c r="H57" i="229"/>
  <c r="Z43" i="788"/>
  <c r="Z26" i="788"/>
  <c r="Z57" i="788"/>
  <c r="Z62" i="788"/>
  <c r="Z14" i="788"/>
  <c r="Z16" i="788"/>
  <c r="Z17" i="788"/>
  <c r="Z54" i="788"/>
  <c r="Z55" i="788"/>
  <c r="Z58" i="788"/>
  <c r="Z63" i="788"/>
  <c r="Z69" i="788"/>
  <c r="Z72" i="788"/>
  <c r="H33" i="155"/>
  <c r="G60" i="229"/>
  <c r="Z50" i="788"/>
  <c r="F53" i="229"/>
  <c r="F56" i="229"/>
  <c r="F59" i="229"/>
  <c r="F60" i="229"/>
  <c r="H49" i="229"/>
  <c r="H48" i="229"/>
  <c r="H56" i="229"/>
  <c r="H55" i="229"/>
  <c r="H51" i="229"/>
  <c r="H50" i="229"/>
  <c r="H54" i="229"/>
  <c r="H53" i="229"/>
  <c r="H52" i="229"/>
  <c r="H15" i="229"/>
  <c r="H8" i="229"/>
  <c r="H16" i="229"/>
  <c r="H10" i="229"/>
  <c r="H12" i="229"/>
  <c r="H17" i="229"/>
  <c r="H9" i="229"/>
  <c r="H13" i="229"/>
  <c r="H7" i="229"/>
  <c r="H11" i="229"/>
  <c r="H14" i="229"/>
  <c r="J16" i="404"/>
  <c r="F49" i="229"/>
  <c r="F52" i="229"/>
  <c r="F55" i="229"/>
  <c r="Z18" i="788"/>
  <c r="Z27" i="788"/>
  <c r="AN125" i="788"/>
  <c r="BF125" i="788"/>
  <c r="Z19" i="788"/>
  <c r="Z28" i="788"/>
  <c r="Z41" i="788"/>
  <c r="Z59" i="788"/>
  <c r="Z60" i="788"/>
  <c r="G58" i="229"/>
  <c r="BH125" i="788"/>
  <c r="F58" i="229"/>
  <c r="U6" i="788"/>
  <c r="Q8" i="788"/>
  <c r="BJ208" i="788"/>
  <c r="AR208" i="788"/>
  <c r="BJ207" i="788"/>
  <c r="AR207" i="788"/>
  <c r="U89" i="788"/>
  <c r="BJ206" i="788"/>
  <c r="S89" i="788"/>
  <c r="AR206" i="788"/>
  <c r="BJ205" i="788"/>
  <c r="U91" i="788"/>
  <c r="AR125" i="788"/>
  <c r="BJ125" i="788"/>
  <c r="Z48" i="788"/>
  <c r="Z84" i="788"/>
  <c r="Z85" i="788"/>
  <c r="Z86" i="788"/>
  <c r="AR205" i="788"/>
  <c r="U8" i="788"/>
  <c r="M88" i="788"/>
  <c r="AF125" i="788"/>
  <c r="F48" i="229"/>
  <c r="F51" i="229"/>
  <c r="F54" i="229"/>
  <c r="F57" i="229"/>
  <c r="Z36" i="788"/>
  <c r="U88" i="788"/>
  <c r="H30" i="229"/>
  <c r="X7" i="788"/>
  <c r="H19" i="155"/>
  <c r="H24" i="155"/>
  <c r="G8" i="229"/>
  <c r="G18" i="229"/>
  <c r="G14" i="229"/>
  <c r="N4" i="229"/>
  <c r="O4" i="229" s="1"/>
  <c r="B45" i="229" s="1"/>
  <c r="G24" i="229"/>
  <c r="G9" i="229"/>
  <c r="G28" i="229"/>
  <c r="G10" i="229"/>
  <c r="G20" i="229"/>
  <c r="G30" i="229"/>
  <c r="G16" i="229"/>
  <c r="G26" i="229"/>
  <c r="G12" i="229"/>
  <c r="G22" i="229"/>
  <c r="F10" i="406"/>
  <c r="AS121" i="788"/>
  <c r="AE110" i="788"/>
  <c r="E10" i="404"/>
  <c r="I79" i="229"/>
  <c r="I81" i="229"/>
  <c r="I77" i="229"/>
  <c r="I75" i="229"/>
  <c r="I73" i="229"/>
  <c r="I74" i="229"/>
  <c r="I72" i="229"/>
  <c r="I84" i="229"/>
  <c r="I82" i="229"/>
  <c r="I80" i="229"/>
  <c r="I78" i="229"/>
  <c r="I76" i="229"/>
  <c r="I83" i="229"/>
  <c r="G11" i="229"/>
  <c r="G13" i="229"/>
  <c r="G15" i="229"/>
  <c r="G17" i="229"/>
  <c r="G19" i="229"/>
  <c r="G21" i="229"/>
  <c r="G23" i="229"/>
  <c r="G25" i="229"/>
  <c r="G27" i="229"/>
  <c r="G29" i="229"/>
  <c r="H21" i="229"/>
  <c r="H23" i="229"/>
  <c r="H25" i="229"/>
  <c r="H27" i="229"/>
  <c r="H29" i="229"/>
  <c r="H19" i="229"/>
  <c r="H18" i="229"/>
  <c r="H20" i="229"/>
  <c r="H22" i="229"/>
  <c r="H24" i="229"/>
  <c r="H26" i="229"/>
  <c r="H28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BG127" i="788"/>
  <c r="BK127" i="788" s="1"/>
  <c r="AO127" i="788"/>
  <c r="AS127" i="788" s="1"/>
  <c r="Z9" i="788"/>
  <c r="BG126" i="788"/>
  <c r="BK126" i="788" s="1"/>
  <c r="AO126" i="788"/>
  <c r="AS126" i="788" s="1"/>
  <c r="X9" i="788"/>
  <c r="V10" i="788"/>
  <c r="X10" i="788"/>
  <c r="BG125" i="788"/>
  <c r="BK125" i="788" s="1"/>
  <c r="AO125" i="788"/>
  <c r="AS125" i="788" s="1"/>
  <c r="V8" i="788"/>
  <c r="X8" i="788"/>
  <c r="Z8" i="788"/>
  <c r="I59" i="229"/>
  <c r="I57" i="229"/>
  <c r="I60" i="229"/>
  <c r="I50" i="229"/>
  <c r="I53" i="229"/>
  <c r="I56" i="229"/>
  <c r="Q3" i="229"/>
  <c r="B3" i="229"/>
  <c r="B69" i="229"/>
  <c r="I55" i="229"/>
  <c r="I52" i="229"/>
  <c r="I58" i="229"/>
  <c r="I51" i="229"/>
  <c r="I49" i="229"/>
  <c r="I48" i="229"/>
  <c r="J10" i="404"/>
  <c r="J18" i="404" s="1"/>
  <c r="J19" i="404" s="1"/>
  <c r="I54" i="229"/>
  <c r="G31" i="229"/>
  <c r="H31" i="229"/>
  <c r="AS205" i="788" l="1"/>
  <c r="Z88" i="788"/>
  <c r="BK205" i="788"/>
  <c r="Y88" i="805"/>
  <c r="X88" i="788"/>
  <c r="V88" i="788"/>
  <c r="R89" i="788" s="1"/>
  <c r="I7" i="229"/>
  <c r="I8" i="229"/>
  <c r="E8" i="155" s="1"/>
  <c r="G8" i="155" s="1"/>
  <c r="H8" i="155" s="1"/>
  <c r="I9" i="229"/>
  <c r="F29" i="229"/>
  <c r="I29" i="229" s="1"/>
  <c r="F26" i="229"/>
  <c r="I26" i="229" s="1"/>
  <c r="F17" i="229"/>
  <c r="I17" i="229" s="1"/>
  <c r="E17" i="155" s="1"/>
  <c r="G17" i="155" s="1"/>
  <c r="H17" i="155" s="1"/>
  <c r="F25" i="229"/>
  <c r="I25" i="229" s="1"/>
  <c r="I10" i="229"/>
  <c r="F15" i="229"/>
  <c r="I15" i="229" s="1"/>
  <c r="E15" i="155" s="1"/>
  <c r="G15" i="155" s="1"/>
  <c r="H15" i="155" s="1"/>
  <c r="F23" i="229"/>
  <c r="I23" i="229" s="1"/>
  <c r="F14" i="229"/>
  <c r="I14" i="229" s="1"/>
  <c r="E14" i="155" s="1"/>
  <c r="G14" i="155" s="1"/>
  <c r="H14" i="155" s="1"/>
  <c r="F18" i="229"/>
  <c r="I18" i="229" s="1"/>
  <c r="E18" i="155" s="1"/>
  <c r="G18" i="155" s="1"/>
  <c r="H18" i="155" s="1"/>
  <c r="F27" i="229"/>
  <c r="I27" i="229" s="1"/>
  <c r="F24" i="229"/>
  <c r="I24" i="229" s="1"/>
  <c r="F22" i="229"/>
  <c r="I22" i="229" s="1"/>
  <c r="F28" i="229"/>
  <c r="I28" i="229" s="1"/>
  <c r="I11" i="229"/>
  <c r="E11" i="155" s="1"/>
  <c r="G11" i="155" s="1"/>
  <c r="H11" i="155" s="1"/>
  <c r="F12" i="229"/>
  <c r="I12" i="229" s="1"/>
  <c r="E12" i="155" s="1"/>
  <c r="G12" i="155" s="1"/>
  <c r="H12" i="155" s="1"/>
  <c r="F13" i="229"/>
  <c r="I13" i="229" s="1"/>
  <c r="E13" i="155" s="1"/>
  <c r="G13" i="155" s="1"/>
  <c r="H13" i="155" s="1"/>
  <c r="F16" i="229"/>
  <c r="I16" i="229" s="1"/>
  <c r="E16" i="155" s="1"/>
  <c r="G16" i="155" s="1"/>
  <c r="H16" i="155" s="1"/>
  <c r="F20" i="229"/>
  <c r="I20" i="229" s="1"/>
  <c r="F19" i="229"/>
  <c r="I19" i="229" s="1"/>
  <c r="F30" i="229"/>
  <c r="I30" i="229" s="1"/>
  <c r="F21" i="229"/>
  <c r="I21" i="229" s="1"/>
  <c r="E12" i="404" a="1"/>
  <c r="V89" i="788" l="1"/>
  <c r="V90" i="788" s="1"/>
  <c r="AS207" i="788" s="1"/>
  <c r="Y89" i="805"/>
  <c r="Y90" i="805" s="1"/>
  <c r="U89" i="805"/>
  <c r="E10" i="155"/>
  <c r="G10" i="155" s="1"/>
  <c r="H10" i="155" s="1"/>
  <c r="E9" i="155"/>
  <c r="G9" i="155" s="1"/>
  <c r="H9" i="155" s="1"/>
  <c r="F31" i="229"/>
  <c r="E7" i="155"/>
  <c r="G7" i="155" s="1"/>
  <c r="H7" i="155" s="1"/>
  <c r="I31" i="229"/>
  <c r="BU207" i="824" l="1"/>
  <c r="BU208" i="824" s="1"/>
  <c r="BC207" i="824"/>
  <c r="BC208" i="824" s="1"/>
  <c r="Y92" i="805"/>
  <c r="BK206" i="788"/>
  <c r="BK207" i="788"/>
  <c r="V91" i="788"/>
  <c r="AS206" i="788"/>
  <c r="AS208" i="788" s="1"/>
  <c r="H35" i="155"/>
  <c r="BK208" i="78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U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W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Y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Z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A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B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C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L6" authorId="0" shapeId="0" xr:uid="{A2AB3F5D-3E9D-4D71-B9D8-8A045DF54B8F}">
      <text>
        <r>
          <rPr>
            <b/>
            <sz val="9"/>
            <color indexed="81"/>
            <rFont val="Tahoma"/>
            <family val="2"/>
          </rPr>
          <t>1:សាប៊ូ
2:គ្រឿង និងសម្ភារសាប៊ូ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R7" authorId="0" shapeId="0" xr:uid="{F2614B67-11C4-4659-921A-1624477AAE4E}">
      <text>
        <r>
          <rPr>
            <b/>
            <sz val="9"/>
            <color indexed="81"/>
            <rFont val="Tahoma"/>
            <family val="2"/>
          </rPr>
          <t>1:លាងចាន
2: បោកគក់
3:ទឹកសម្អាតការ៉ូ</t>
        </r>
      </text>
    </comment>
    <comment ref="U7" authorId="0" shapeId="0" xr:uid="{D2B03F02-2C32-4F92-8CEB-B881FC446EC1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<sst xmlns="http://schemas.openxmlformats.org/spreadsheetml/2006/main" count="5226" uniqueCount="2713">
  <si>
    <t>Column1</t>
  </si>
  <si>
    <t>Column2</t>
  </si>
  <si>
    <t>Column3</t>
  </si>
  <si>
    <t>NBC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</si>
  <si>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</si>
  <si>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</si>
  <si>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</si>
  <si>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</si>
  <si>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</si>
  <si>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</si>
  <si>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</si>
  <si>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</si>
  <si>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</si>
  <si>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</si>
  <si>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</si>
  <si>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</si>
  <si>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</t>
  </si>
  <si>
    <t>01.មករា</t>
  </si>
  <si>
    <t>Abbr</t>
  </si>
  <si>
    <t>Name En</t>
  </si>
  <si>
    <t>02.កុម្ភៈ</t>
  </si>
  <si>
    <t>Unit</t>
  </si>
  <si>
    <t>08</t>
  </si>
  <si>
    <t>01.លក់ដុំ ទូទៅ</t>
  </si>
  <si>
    <t>Wholesales</t>
  </si>
  <si>
    <t>03</t>
  </si>
  <si>
    <t>03.មីនា</t>
  </si>
  <si>
    <t>09</t>
  </si>
  <si>
    <t>02.លក់រាយ ទូទៅ</t>
  </si>
  <si>
    <t>Retail_Price</t>
  </si>
  <si>
    <t>Address</t>
  </si>
  <si>
    <t>04</t>
  </si>
  <si>
    <t>04.មេសា</t>
  </si>
  <si>
    <t>10</t>
  </si>
  <si>
    <t>05</t>
  </si>
  <si>
    <t>05.ឧសភា</t>
  </si>
  <si>
    <t>11</t>
  </si>
  <si>
    <t>06.មិថុនា</t>
  </si>
  <si>
    <t>Unit Price</t>
  </si>
  <si>
    <t>07</t>
  </si>
  <si>
    <t>07.កក្កដា</t>
  </si>
  <si>
    <t>08.សីហា</t>
  </si>
  <si>
    <t>ABA</t>
  </si>
  <si>
    <t>09.កញ្ញា</t>
  </si>
  <si>
    <t>ប៊ីដុង</t>
  </si>
  <si>
    <t>10.តុលា</t>
  </si>
  <si>
    <t>កាន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</si>
  <si>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</si>
  <si>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</si>
  <si>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</si>
  <si>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</si>
  <si>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</si>
  <si>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</si>
  <si>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</si>
  <si>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</si>
  <si>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</si>
  <si>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</si>
  <si>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</si>
  <si>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</si>
  <si>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</si>
  <si>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</si>
  <si>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ប្រភេទបញ្ចុះតម្លៃ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</si>
  <si>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</si>
  <si>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</si>
  <si>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</si>
  <si>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</si>
  <si>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</si>
  <si>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</si>
  <si>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</si>
  <si>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</si>
  <si>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</si>
  <si>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</si>
  <si>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</si>
  <si>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លេខកូដទំនិញ</t>
  </si>
  <si>
    <t>ឈ្មោះផលិតផល</t>
  </si>
  <si>
    <t>ខ្នាត</t>
  </si>
  <si>
    <t>ថ្លៃដើម</t>
  </si>
  <si>
    <t>តម្លៃបោះដុំ</t>
  </si>
  <si>
    <t>តម្លៃលក់រាយ</t>
  </si>
  <si>
    <t>លេខកូដខ្នាត</t>
  </si>
  <si>
    <t>តម្លៃខ្នាតតូច</t>
  </si>
  <si>
    <t>8849300915701</t>
  </si>
  <si>
    <t>08.ប៊ីដុង</t>
  </si>
  <si>
    <t>8849300915702</t>
  </si>
  <si>
    <t>09.កាន</t>
  </si>
  <si>
    <t>8849300915705</t>
  </si>
  <si>
    <t>05.គីឡូ</t>
  </si>
  <si>
    <t>03.លីត្រ</t>
  </si>
  <si>
    <t>សំគាល់</t>
  </si>
  <si>
    <t>42.ក្លឹន សាន់លីត្រ</t>
  </si>
  <si>
    <t>46.ទឹកជំនួយពពុះ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</si>
  <si>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</si>
  <si>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</si>
  <si>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</si>
  <si>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</si>
  <si>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</si>
  <si>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</si>
  <si>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</si>
  <si>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</si>
  <si>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</si>
  <si>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</si>
  <si>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</si>
  <si>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Week</t>
  </si>
  <si>
    <t>Description</t>
  </si>
  <si>
    <t>Remark</t>
  </si>
  <si>
    <t>003.សាប៊ូ</t>
  </si>
  <si>
    <t>Note</t>
  </si>
  <si>
    <t>ឈ្មោះអតិថិជន</t>
  </si>
  <si>
    <t>លេខវិក្កយបត្រ</t>
  </si>
  <si>
    <t>ប្រាក់បានទូទាត់</t>
  </si>
  <si>
    <t>សមតុល្យ</t>
  </si>
  <si>
    <t>Invoice No</t>
  </si>
  <si>
    <t>Total Amount</t>
  </si>
  <si>
    <t>Discount</t>
  </si>
  <si>
    <t>Balance</t>
  </si>
  <si>
    <t>បញ្ចូលបានតែស្តុកនៅសល់</t>
  </si>
  <si>
    <t>ជ្រើសរើសប្រភេទតម្លៃ ៖</t>
  </si>
  <si>
    <t>តម្លៃសរុប</t>
  </si>
  <si>
    <t>ជ្រើសរើសផលិតផល</t>
  </si>
  <si>
    <t>សរុបស្តុកជាសាច់ប្រាក់ ៖</t>
  </si>
  <si>
    <t>៖</t>
  </si>
  <si>
    <t>Item code</t>
  </si>
  <si>
    <t>Item Description/Service</t>
  </si>
  <si>
    <t>លេខវិក្កយប័ត្រ</t>
  </si>
  <si>
    <t>កូដអតិថិជន</t>
  </si>
  <si>
    <t>លេខកូដផលិតផល</t>
  </si>
  <si>
    <t>បរិយាយផលិតផល</t>
  </si>
  <si>
    <t>តម្លៃឯកតា</t>
  </si>
  <si>
    <t>Invoice Date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</si>
  <si>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</si>
  <si>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</si>
  <si>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</si>
  <si>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</si>
  <si>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</si>
  <si>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</si>
  <si>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</si>
  <si>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</si>
  <si>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</si>
  <si>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</si>
  <si>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</si>
  <si>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ប៊ូ បញ្ញា</t>
  </si>
  <si>
    <t>BOU Panha</t>
  </si>
  <si>
    <t>015 43 44 00</t>
  </si>
  <si>
    <t>នឹម ស្រីមុំ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</si>
  <si>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</si>
  <si>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</si>
  <si>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</si>
  <si>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</si>
  <si>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0001</t>
  </si>
  <si>
    <t>0005</t>
  </si>
  <si>
    <t>0008</t>
  </si>
  <si>
    <t>0019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</si>
  <si>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</si>
  <si>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</si>
  <si>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</si>
  <si>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</si>
  <si>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</si>
  <si>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</si>
  <si>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</si>
  <si>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</si>
  <si>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</si>
  <si>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</si>
  <si>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</si>
  <si>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</si>
  <si>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</si>
  <si>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</si>
  <si>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</si>
  <si>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</si>
  <si>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</si>
  <si>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</si>
  <si>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</si>
  <si>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</si>
  <si>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</si>
  <si>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</si>
  <si>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</si>
  <si>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</si>
  <si>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</si>
  <si>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</si>
  <si>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</si>
  <si>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</si>
  <si>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</si>
  <si>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</si>
  <si>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</si>
  <si>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</si>
  <si>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</si>
  <si>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</si>
  <si>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</si>
  <si>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</si>
  <si>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</si>
  <si>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</si>
  <si>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</si>
  <si>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</si>
  <si>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</si>
  <si>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</si>
  <si>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</si>
  <si>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</si>
  <si>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</si>
  <si>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</si>
  <si>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</si>
  <si>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</si>
  <si>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</si>
  <si>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</si>
  <si>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</si>
  <si>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</si>
  <si>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</si>
  <si>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001.គ្រឿងធ្វើសាប៊ូ</t>
  </si>
  <si>
    <t>002.សម្ភារៈសាប៊ូ</t>
  </si>
  <si>
    <t>004.ចំណាយផ្សេងៗ</t>
  </si>
  <si>
    <t>ខែ</t>
  </si>
  <si>
    <t>បាយការណ៍រាប់ស្តុកចុងខែ</t>
  </si>
  <si>
    <t>12.ធ្នូ</t>
  </si>
  <si>
    <t>Customer Name</t>
  </si>
  <si>
    <t>Status</t>
  </si>
  <si>
    <t>ប្រាក់នៅខ្វះ</t>
  </si>
  <si>
    <t>លេខបង្កាន់ដៃ</t>
  </si>
  <si>
    <t>ប្រាក់សុទ្ធ</t>
  </si>
  <si>
    <t>កុងធនាគារ</t>
  </si>
  <si>
    <t>ទទួលពី</t>
  </si>
  <si>
    <t>ទឹកប្រាក់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</si>
  <si>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</si>
  <si>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</si>
  <si>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</si>
  <si>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</si>
  <si>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(ជារៀល)</t>
  </si>
  <si>
    <t>(ជាដុល្លា)</t>
  </si>
  <si>
    <t>1ដុល្លា =</t>
  </si>
  <si>
    <t>អត្រាប្តូរប្រាក់​​ ៖</t>
  </si>
  <si>
    <t>ហាមប៉ះពាល់ទម្រង់ Receive Payment ខាងក្រោម</t>
  </si>
  <si>
    <t>ប្រាក់ ( $ )</t>
  </si>
  <si>
    <t>ប្រភេទម៉ូឌុល</t>
  </si>
  <si>
    <t>អ្នកផ្ទត់ផ្គង់</t>
  </si>
  <si>
    <t>Amount( R )</t>
  </si>
  <si>
    <t>Amount ( $ )</t>
  </si>
  <si>
    <t>ប្រាក់ ( ៛ )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</si>
  <si>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</si>
  <si>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</si>
  <si>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</si>
  <si>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</si>
  <si>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ហាមប៉ះពាល់ពត៌មានវិក្កយប័ត្រចំណាយខាងក្រោម</t>
  </si>
  <si>
    <t>Vendor Name KH</t>
  </si>
  <si>
    <t>General Vendor</t>
  </si>
  <si>
    <t>ឈ្មោះក្រុមហ៊ុន</t>
  </si>
  <si>
    <t>វិក្កយ.យោង</t>
  </si>
  <si>
    <t>Customer ID</t>
  </si>
  <si>
    <t>លេខអតិថិជន</t>
  </si>
  <si>
    <t>003.សាប៊ូបញ្ចុះតម្លៃ</t>
  </si>
  <si>
    <t/>
  </si>
  <si>
    <t>Sale​ Stock</t>
  </si>
  <si>
    <t>ជ្រើសរើសប្រភេទចំណាយ</t>
  </si>
  <si>
    <t>ប្រាក់ទូទាត់</t>
  </si>
  <si>
    <r>
      <t>Module Types</t>
    </r>
    <r>
      <rPr>
        <sz val="12"/>
        <color rgb="FFFF0000"/>
        <rFont val="Roboto"/>
      </rPr>
      <t xml:space="preserve"> *</t>
    </r>
  </si>
  <si>
    <t>តំរឹមស្តុក</t>
  </si>
  <si>
    <t>ប្រាក់ជំពាក់សរុប</t>
  </si>
  <si>
    <t>Branch ID</t>
  </si>
  <si>
    <t>Price Type ID</t>
  </si>
  <si>
    <t>Sale ID</t>
  </si>
  <si>
    <t>Sale Name</t>
  </si>
  <si>
    <t>Discount Type ID</t>
  </si>
  <si>
    <t>លេខសាខា</t>
  </si>
  <si>
    <t>លេខប្រភេទតម្លៃ</t>
  </si>
  <si>
    <t>លេខអ្នកលក់</t>
  </si>
  <si>
    <t>ឈ្មោះអ្នកលក់</t>
  </si>
  <si>
    <t>ប្រាក់បញ្ចុះតម្លៃ</t>
  </si>
  <si>
    <t>ប្រាក់សរុប</t>
  </si>
  <si>
    <t>ស្ថានភាព</t>
  </si>
  <si>
    <t>ទីតាំងលក់</t>
  </si>
  <si>
    <t>Location ID</t>
  </si>
  <si>
    <t>01.សៀមរាប</t>
  </si>
  <si>
    <t>សប្តាហ៍ទី1</t>
  </si>
  <si>
    <t>សប្តាហ៍ទី2</t>
  </si>
  <si>
    <t>សប្តាហ៍ទី3</t>
  </si>
  <si>
    <t>សប្តាហ៍ទី4</t>
  </si>
  <si>
    <t>8849300915706</t>
  </si>
  <si>
    <t>8849300915709</t>
  </si>
  <si>
    <t>8849300915703</t>
  </si>
  <si>
    <t>8849300915710</t>
  </si>
  <si>
    <t>8849300915713</t>
  </si>
  <si>
    <t>09.ទឹកសម្អាតការ៉ូ 4លីត្រ</t>
  </si>
  <si>
    <t>10.ទឹកសម្អាតការ៉ូ 28លីត្រ</t>
  </si>
  <si>
    <t>11.ទឹកសម្អាតការ៉ូ 30លីត្រ</t>
  </si>
  <si>
    <t>03.សាប៊ូលាងចាន 28លីត្រ</t>
  </si>
  <si>
    <t>04.សាប៊ូបោកគក់ 28លីត្រ</t>
  </si>
  <si>
    <t>06.សាប៊ូបោកគក់ 30លីត្រ</t>
  </si>
  <si>
    <t>01.សាប៊ូលាងចាន 4លីត្រ</t>
  </si>
  <si>
    <t>05.សាប៊ូលាងចាន 30លីត្រ</t>
  </si>
  <si>
    <t>07.ទឹកសម្អាតការ៉ូ 4លីត្រ</t>
  </si>
  <si>
    <t>08.ទឹកសម្អាតការ៉ូ 28លីត្រ</t>
  </si>
  <si>
    <t>ក្រុមសមាជិកតាមតំបន់នីមួយៗ</t>
  </si>
  <si>
    <t>ឈ្មោះ</t>
  </si>
  <si>
    <t>លេខទំនាក់ទំនង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</si>
  <si>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</si>
  <si>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</si>
  <si>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</si>
  <si>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</si>
  <si>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</si>
  <si>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</si>
  <si>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</si>
  <si>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</si>
  <si>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</si>
  <si>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</si>
  <si>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</si>
  <si>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ផ្ទុកទិន្នន័យ</t>
  </si>
  <si>
    <t>Database</t>
  </si>
  <si>
    <t>ចុចប៊ូតុងខាងក្រោម ដើម្បីចូលទៅកាន់ម៉ូឌុល</t>
  </si>
  <si>
    <t>បញ្ចុះតម្លៃ ( R )</t>
  </si>
  <si>
    <t>ស្តុកផលិត</t>
  </si>
  <si>
    <t>ស្តុកលក់</t>
  </si>
  <si>
    <t>ឆ្នាំ</t>
  </si>
  <si>
    <t>Year</t>
  </si>
  <si>
    <t>ប្រាក់ជំពាក់</t>
  </si>
  <si>
    <t>ទឹកប្រាក់បានទូទាត់</t>
  </si>
  <si>
    <t>ប្រាក់ត្រូវទូទាត់សរុប</t>
  </si>
  <si>
    <t>ទូទាត់ប្រាក់ដោយ ៖</t>
  </si>
  <si>
    <t>ប្រាក់ទូទាត់លើស</t>
  </si>
  <si>
    <t>ស្តុករាប់ជាក់ស្តែង</t>
  </si>
  <si>
    <t>Avariable Stock</t>
  </si>
  <si>
    <t>ខ្នាតមិនទាន់បំបែក</t>
  </si>
  <si>
    <t>បរិយាយផលិតផល/មុខទំនិញ</t>
  </si>
  <si>
    <t>Items Description</t>
  </si>
  <si>
    <t>លេខវិក្ក.</t>
  </si>
  <si>
    <t>Branch Id</t>
  </si>
  <si>
    <t>Old Discount</t>
  </si>
  <si>
    <t>សមាជិក ផ្ទះដំរីឆ្លងផ្ទះមីង ផ្ទះ២៧០ រោងទា ...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</si>
  <si>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</si>
  <si>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</si>
  <si>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</si>
  <si>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</si>
  <si>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ស្តុកចុងក្រោយ</t>
  </si>
  <si>
    <t>Id</t>
  </si>
  <si>
    <t>Location Group Id</t>
  </si>
  <si>
    <t>លេខឃ្លាំង</t>
  </si>
  <si>
    <t>លេខគណនេយ្យ</t>
  </si>
  <si>
    <t>Ending Qty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</si>
  <si>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</si>
  <si>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</si>
  <si>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</si>
  <si>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</si>
  <si>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</si>
  <si>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</si>
  <si>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</si>
  <si>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</si>
  <si>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</si>
  <si>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</si>
  <si>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</si>
  <si>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</si>
  <si>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</si>
  <si>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</si>
  <si>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</si>
  <si>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</si>
  <si>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</si>
  <si>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</si>
  <si>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</si>
  <si>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</si>
  <si>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</si>
  <si>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</si>
  <si>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</si>
  <si>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</si>
  <si>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</si>
  <si>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</si>
  <si>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</si>
  <si>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</si>
  <si>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</si>
  <si>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</si>
  <si>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</si>
  <si>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</si>
  <si>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</si>
  <si>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លេខ POS</t>
  </si>
  <si>
    <t>លេខបញ្ជាទិញ</t>
  </si>
  <si>
    <t>លេខផ្ទេរស្តុក</t>
  </si>
  <si>
    <t>ប្រភេទ</t>
  </si>
  <si>
    <t>អតិថិជន</t>
  </si>
  <si>
    <t>អ្នកផ្គត់ផ្ទង់</t>
  </si>
  <si>
    <t>លេខទីតាំង</t>
  </si>
  <si>
    <t>ថ្លៃលក់</t>
  </si>
  <si>
    <t>លេខចំនួនស្តុក</t>
  </si>
  <si>
    <t>លេខថ្លៃដើម</t>
  </si>
  <si>
    <t>លេខស្តុក</t>
  </si>
  <si>
    <t>លេខវិក្ក.ត្រលប់</t>
  </si>
  <si>
    <t>លេខត្រលប់បញ្ជាទិញ</t>
  </si>
  <si>
    <r>
      <t>ចំណូលពី</t>
    </r>
    <r>
      <rPr>
        <sz val="12"/>
        <color rgb="FFFF0000"/>
        <rFont val="Roboto"/>
      </rPr>
      <t xml:space="preserve"> *</t>
    </r>
  </si>
  <si>
    <r>
      <t>កាលបរិច្ឆេទ</t>
    </r>
    <r>
      <rPr>
        <sz val="12"/>
        <color rgb="FFFF0000"/>
        <rFont val="Roboto"/>
      </rPr>
      <t xml:space="preserve"> *</t>
    </r>
  </si>
  <si>
    <r>
      <t xml:space="preserve">សាខា </t>
    </r>
    <r>
      <rPr>
        <sz val="12"/>
        <color rgb="FFFF0000"/>
        <rFont val="Roboto"/>
      </rPr>
      <t>*</t>
    </r>
  </si>
  <si>
    <r>
      <t>លេខវិក្កយប័ត្រ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</si>
  <si>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Content"/>
      </rPr>
      <t xml:space="preserve"> *</t>
    </r>
  </si>
  <si>
    <r>
      <t>អ្នកទទួលប្រាក់</t>
    </r>
    <r>
      <rPr>
        <sz val="12"/>
        <color rgb="FFFF0000"/>
        <rFont val="Roboto"/>
      </rPr>
      <t xml:space="preserve"> *</t>
    </r>
  </si>
  <si>
    <t>កូដផលិតផល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</si>
  <si>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</si>
  <si>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</si>
  <si>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</si>
  <si>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</si>
  <si>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</si>
  <si>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</si>
  <si>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r>
      <t>លេខចំណាយ</t>
    </r>
    <r>
      <rPr>
        <sz val="12"/>
        <color rgb="FFFF0000"/>
        <rFont val="Roboto"/>
      </rPr>
      <t xml:space="preserve"> *</t>
    </r>
  </si>
  <si>
    <r>
      <t>វិក្កយប័ត្រយោង</t>
    </r>
    <r>
      <rPr>
        <sz val="12"/>
        <color rgb="FFFF0000"/>
        <rFont val="Roboto"/>
      </rPr>
      <t>*</t>
    </r>
  </si>
  <si>
    <r>
      <t>អ្នកផ្គត់ផ្គង់</t>
    </r>
    <r>
      <rPr>
        <sz val="12"/>
        <color rgb="FFFF0000"/>
        <rFont val="Roboto"/>
      </rPr>
      <t xml:space="preserve"> *</t>
    </r>
  </si>
  <si>
    <r>
      <t>សមាជិក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</si>
  <si>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Roboto"/>
      </rPr>
      <t xml:space="preserve"> *</t>
    </r>
  </si>
  <si>
    <r>
      <t>ពិនិត្យដោយ</t>
    </r>
    <r>
      <rPr>
        <sz val="12"/>
        <color rgb="FFFF0000"/>
        <rFont val="Roboto"/>
      </rPr>
      <t xml:space="preserve"> *</t>
    </r>
  </si>
  <si>
    <r>
      <t>ប្រភេទចំណាយ</t>
    </r>
    <r>
      <rPr>
        <sz val="12"/>
        <color rgb="FFFF0000"/>
        <rFont val="Roboto"/>
      </rPr>
      <t xml:space="preserve"> *</t>
    </r>
  </si>
  <si>
    <t>កំណត់សម្គាល់</t>
  </si>
  <si>
    <t>បរិយាយចំណាយ</t>
  </si>
  <si>
    <t>Expense Description</t>
  </si>
  <si>
    <t>Qty Free</t>
  </si>
  <si>
    <t>Conversion</t>
  </si>
  <si>
    <t>បំបែកខ្នាត</t>
  </si>
  <si>
    <t>Uom Id</t>
  </si>
  <si>
    <t>Invoice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</si>
  <si>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</si>
  <si>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</si>
  <si>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</si>
  <si>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</si>
  <si>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</si>
  <si>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</si>
  <si>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</si>
  <si>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បញ្ជីឈ្មោះអ្នកលក់</t>
  </si>
  <si>
    <t>02.ផល​ ពិសិទ្ធ</t>
  </si>
  <si>
    <t>04.ហ៊ឹម វណ្ណថេន</t>
  </si>
  <si>
    <t>38.អ៊ីដ្រុកស៊ីអេទីលសែលលុយឡូស (ពពុះសាប៊ូ)</t>
  </si>
  <si>
    <t>39.សូដ្យូមអាល់គីលបង់សែនស៊ុលផូណាត (ម្សៅខាប់)</t>
  </si>
  <si>
    <t>40.សូដ្យូមអ៊ីដ្រុកស៊ីត (កូស្ទិច)</t>
  </si>
  <si>
    <t>41.សូដ្យូមស៊ុលផាត (អំបិល)</t>
  </si>
  <si>
    <t>37.អាស៊ីតខ្លាញ់ (ទឹកខ្មៅ)</t>
  </si>
  <si>
    <t>43.ក្លិន ហ្រ្វេសរ៉ូមែនស៍</t>
  </si>
  <si>
    <t>48.ក្លិន​ ហ្រ្វេសរ៉ូសម៉ារី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</si>
  <si>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</si>
  <si>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</si>
  <si>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</si>
  <si>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</si>
  <si>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</si>
  <si>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</si>
  <si>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</si>
  <si>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</si>
  <si>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</si>
  <si>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</si>
  <si>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</si>
  <si>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</si>
  <si>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</si>
  <si>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</si>
  <si>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</si>
  <si>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</si>
  <si>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</si>
  <si>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</si>
  <si>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</si>
  <si>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</si>
  <si>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</si>
  <si>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</si>
  <si>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</si>
  <si>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</si>
  <si>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</si>
  <si>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</si>
  <si>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</si>
  <si>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</si>
  <si>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</si>
  <si>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</si>
  <si>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</si>
  <si>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</si>
  <si>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</si>
  <si>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</si>
  <si>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</si>
  <si>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</si>
  <si>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</si>
  <si>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</si>
  <si>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</si>
  <si>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</si>
  <si>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</si>
  <si>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</si>
  <si>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</si>
  <si>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</si>
  <si>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</si>
  <si>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</si>
  <si>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</si>
  <si>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</si>
  <si>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</si>
  <si>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</si>
  <si>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</si>
  <si>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</si>
  <si>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</si>
  <si>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</si>
  <si>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</si>
  <si>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</si>
  <si>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</si>
  <si>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</si>
  <si>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</si>
  <si>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</si>
  <si>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</si>
  <si>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</si>
  <si>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</si>
  <si>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</si>
  <si>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</si>
  <si>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</si>
  <si>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</si>
  <si>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</si>
  <si>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</si>
  <si>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</si>
  <si>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</si>
  <si>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</si>
  <si>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</si>
  <si>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</si>
  <si>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</si>
  <si>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</si>
  <si>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</si>
  <si>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</si>
  <si>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</si>
  <si>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</si>
  <si>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</si>
  <si>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</si>
  <si>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</si>
  <si>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</si>
  <si>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</si>
  <si>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</si>
  <si>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</si>
  <si>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</si>
  <si>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</si>
  <si>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</si>
  <si>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</si>
  <si>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</si>
  <si>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</si>
  <si>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</si>
  <si>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</si>
  <si>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</si>
  <si>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</si>
  <si>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</si>
  <si>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</si>
  <si>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</si>
  <si>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</si>
  <si>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</si>
  <si>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</si>
  <si>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</si>
  <si>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</si>
  <si>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</si>
  <si>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</si>
  <si>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</si>
  <si>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</si>
  <si>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</si>
  <si>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014.Cash Expense</t>
  </si>
  <si>
    <t>019.Sales / Invoice</t>
  </si>
  <si>
    <t>020.Receive Payments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</si>
  <si>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</si>
  <si>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</si>
  <si>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</si>
  <si>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</si>
  <si>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</si>
  <si>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</si>
  <si>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</si>
  <si>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</si>
  <si>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</si>
  <si>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</si>
  <si>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</si>
  <si>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</si>
  <si>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</si>
  <si>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</si>
  <si>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</si>
  <si>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</si>
  <si>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</si>
  <si>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</si>
  <si>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</si>
  <si>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</si>
  <si>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</si>
  <si>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</si>
  <si>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</si>
  <si>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</si>
  <si>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</si>
  <si>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</si>
  <si>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</si>
  <si>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</si>
  <si>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</si>
  <si>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</si>
  <si>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</si>
  <si>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</si>
  <si>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</si>
  <si>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</si>
  <si>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</si>
  <si>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</si>
  <si>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</si>
  <si>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</si>
  <si>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</si>
  <si>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</si>
  <si>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</si>
  <si>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</si>
  <si>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</si>
  <si>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</si>
  <si>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</si>
  <si>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</si>
  <si>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</si>
  <si>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</si>
  <si>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</si>
  <si>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</si>
  <si>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</si>
  <si>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</si>
  <si>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</si>
  <si>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</si>
  <si>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</si>
  <si>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</si>
  <si>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</si>
  <si>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</si>
  <si>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</si>
  <si>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</si>
  <si>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</si>
  <si>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</si>
  <si>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</si>
  <si>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</si>
  <si>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</si>
  <si>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</si>
  <si>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</si>
  <si>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</si>
  <si>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</si>
  <si>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</si>
  <si>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</si>
  <si>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</si>
  <si>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</si>
  <si>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</si>
  <si>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</si>
  <si>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</si>
  <si>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</si>
  <si>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</si>
  <si>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</si>
  <si>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</si>
  <si>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</si>
  <si>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</si>
  <si>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</si>
  <si>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</si>
  <si>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</si>
  <si>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</si>
  <si>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</si>
  <si>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</si>
  <si>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</si>
  <si>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</si>
  <si>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</si>
  <si>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</si>
  <si>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</si>
  <si>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</si>
  <si>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</si>
  <si>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</si>
  <si>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</si>
  <si>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</si>
  <si>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</si>
  <si>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</si>
  <si>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</si>
  <si>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</si>
  <si>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</si>
  <si>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</si>
  <si>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</si>
  <si>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</si>
  <si>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</si>
  <si>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</si>
  <si>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</si>
  <si>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</si>
  <si>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</si>
  <si>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</si>
  <si>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</si>
  <si>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</si>
  <si>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</si>
  <si>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</si>
  <si>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</si>
  <si>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</si>
  <si>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</si>
  <si>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</si>
  <si>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</si>
  <si>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Pricing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</si>
  <si>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</si>
  <si>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</si>
  <si>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</si>
  <si>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</si>
  <si>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</si>
  <si>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</si>
  <si>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</si>
  <si>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</si>
  <si>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</si>
  <si>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</si>
  <si>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</si>
  <si>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</si>
  <si>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</si>
  <si>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</si>
  <si>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</si>
  <si>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</si>
  <si>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</si>
  <si>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</si>
  <si>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</si>
  <si>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</si>
  <si>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</si>
  <si>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</si>
  <si>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</si>
  <si>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</si>
  <si>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</si>
  <si>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</si>
  <si>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</si>
  <si>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</si>
  <si>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</si>
  <si>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</si>
  <si>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</si>
  <si>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</si>
  <si>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</si>
  <si>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</si>
  <si>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</si>
  <si>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</si>
  <si>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</si>
  <si>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</si>
  <si>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</si>
  <si>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</si>
  <si>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</si>
  <si>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</si>
  <si>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</si>
  <si>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</si>
  <si>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</si>
  <si>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</si>
  <si>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</si>
  <si>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</si>
  <si>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</si>
  <si>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</si>
  <si>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</si>
  <si>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</si>
  <si>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</si>
  <si>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</si>
  <si>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</si>
  <si>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</si>
  <si>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</si>
  <si>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</si>
  <si>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</si>
  <si>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</si>
  <si>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</si>
  <si>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</si>
  <si>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</si>
  <si>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</si>
  <si>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</si>
  <si>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</si>
  <si>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</si>
  <si>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</si>
  <si>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</si>
  <si>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</si>
  <si>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</si>
  <si>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</si>
  <si>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</si>
  <si>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</si>
  <si>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</si>
  <si>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</si>
  <si>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</si>
  <si>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</si>
  <si>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</si>
  <si>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</si>
  <si>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</si>
  <si>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</si>
  <si>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</si>
  <si>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</si>
  <si>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</si>
  <si>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</si>
  <si>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</si>
  <si>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</si>
  <si>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</si>
  <si>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</si>
  <si>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</si>
  <si>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</si>
  <si>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</si>
  <si>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</si>
  <si>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</si>
  <si>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</si>
  <si>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</si>
  <si>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</si>
  <si>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</si>
  <si>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</si>
  <si>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</si>
  <si>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</si>
  <si>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</si>
  <si>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</si>
  <si>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</si>
  <si>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</si>
  <si>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</si>
  <si>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</si>
  <si>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</si>
  <si>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</si>
  <si>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</si>
  <si>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</si>
  <si>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</si>
  <si>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</si>
  <si>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</si>
  <si>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</si>
  <si>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</si>
  <si>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</si>
  <si>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</si>
  <si>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</si>
  <si>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</si>
  <si>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</si>
  <si>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</si>
  <si>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</si>
  <si>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</si>
  <si>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</si>
  <si>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</si>
  <si>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</si>
  <si>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</si>
  <si>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</si>
  <si>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</si>
  <si>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</si>
  <si>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</si>
  <si>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</si>
  <si>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</si>
  <si>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</si>
  <si>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</si>
  <si>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</si>
  <si>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</si>
  <si>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</si>
  <si>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</si>
  <si>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</si>
  <si>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</si>
  <si>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</si>
  <si>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</si>
  <si>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</si>
  <si>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</si>
  <si>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</si>
  <si>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</si>
  <si>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</si>
  <si>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</si>
  <si>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</si>
  <si>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</si>
  <si>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</si>
  <si>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</si>
  <si>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</si>
  <si>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</si>
  <si>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</si>
  <si>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</si>
  <si>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</si>
  <si>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</si>
  <si>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</si>
  <si>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</si>
  <si>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</si>
  <si>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</si>
  <si>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</si>
  <si>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</si>
  <si>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</si>
  <si>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</si>
  <si>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</si>
  <si>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</si>
  <si>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</si>
  <si>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</si>
  <si>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</si>
  <si>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</si>
  <si>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</si>
  <si>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</si>
  <si>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</si>
  <si>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</si>
  <si>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</si>
  <si>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</si>
  <si>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</si>
  <si>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</si>
  <si>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</si>
  <si>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</si>
  <si>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</si>
  <si>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>Inv Total</t>
  </si>
  <si>
    <t>Total Detail</t>
  </si>
  <si>
    <t xml:space="preserve">ប្រចាំឆ្នាំ  </t>
  </si>
  <si>
    <t>2.បញ្ជីវិក្កយប័ត្រ</t>
  </si>
  <si>
    <t>1.បញ្ជីវិក្កយប័ត្រមិនទាន់ទូទាត់រួច</t>
  </si>
  <si>
    <t>លេខកូដបញ្ជាទិញ</t>
  </si>
  <si>
    <t>លេខបាកូដ</t>
  </si>
  <si>
    <t>ចំនួនFree</t>
  </si>
  <si>
    <t xml:space="preserve">បញ្ចុះតម្លៃ </t>
  </si>
  <si>
    <t xml:space="preserve">អាករ </t>
  </si>
  <si>
    <t xml:space="preserve">  ស្វែងរកផលិតឬទំនិញ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</si>
  <si>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</si>
  <si>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</si>
  <si>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</si>
  <si>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</si>
  <si>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</si>
  <si>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</si>
  <si>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</si>
  <si>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</si>
  <si>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</si>
  <si>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</si>
  <si>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</si>
  <si>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</si>
  <si>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</si>
  <si>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</si>
  <si>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</si>
  <si>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</si>
  <si>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</si>
  <si>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</si>
  <si>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</si>
  <si>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</si>
  <si>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ភូមិដំរីឆ្លង ឃុំសង្វើយ ស្រុកជីក្រែង ខេត្តសៀមរាប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</si>
  <si>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</si>
  <si>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</si>
  <si>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</si>
  <si>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</si>
  <si>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</si>
  <si>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</si>
  <si>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</si>
  <si>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</si>
  <si>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</si>
  <si>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</si>
  <si>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</si>
  <si>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</si>
  <si>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</si>
  <si>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</si>
  <si>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</si>
  <si>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</si>
  <si>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</si>
  <si>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</si>
  <si>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</si>
  <si>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</si>
  <si>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</si>
  <si>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</si>
  <si>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</si>
  <si>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</si>
  <si>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</si>
  <si>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</si>
  <si>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</si>
  <si>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</si>
  <si>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</si>
  <si>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</si>
  <si>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</si>
  <si>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</si>
  <si>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</si>
  <si>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</si>
  <si>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</si>
  <si>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</si>
  <si>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</si>
  <si>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</si>
  <si>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</si>
  <si>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</si>
  <si>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</si>
  <si>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</si>
  <si>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</si>
  <si>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</si>
  <si>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</si>
  <si>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</si>
  <si>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</si>
  <si>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</si>
  <si>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</si>
  <si>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</si>
  <si>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</si>
  <si>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</si>
  <si>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</si>
  <si>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</si>
  <si>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</si>
  <si>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</si>
  <si>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</si>
  <si>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</si>
  <si>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</si>
  <si>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</si>
  <si>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</si>
  <si>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</si>
  <si>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</si>
  <si>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</si>
  <si>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</si>
  <si>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</si>
  <si>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</si>
  <si>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</si>
  <si>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</si>
  <si>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</si>
  <si>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</si>
  <si>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</si>
  <si>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</si>
  <si>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</si>
  <si>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</si>
  <si>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</si>
  <si>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</si>
  <si>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</si>
  <si>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</si>
  <si>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</si>
  <si>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</si>
  <si>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</si>
  <si>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</si>
  <si>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</si>
  <si>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</si>
  <si>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</si>
  <si>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</si>
  <si>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</si>
  <si>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</si>
  <si>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</si>
  <si>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</si>
  <si>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</si>
  <si>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</si>
  <si>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</si>
  <si>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</si>
  <si>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</si>
  <si>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</si>
  <si>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</si>
  <si>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</si>
  <si>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</si>
  <si>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</si>
  <si>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</si>
  <si>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</si>
  <si>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</si>
  <si>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</si>
  <si>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</si>
  <si>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</si>
  <si>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</si>
  <si>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</si>
  <si>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</si>
  <si>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</si>
  <si>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</si>
  <si>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</si>
  <si>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</si>
  <si>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</si>
  <si>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</si>
  <si>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</si>
  <si>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</si>
  <si>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</si>
  <si>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</si>
  <si>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</si>
  <si>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</si>
  <si>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</si>
  <si>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</si>
  <si>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</si>
  <si>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</si>
  <si>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</si>
  <si>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</si>
  <si>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</si>
  <si>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</si>
  <si>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</si>
  <si>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</si>
  <si>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</si>
  <si>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</si>
  <si>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</si>
  <si>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</si>
  <si>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</si>
  <si>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</si>
  <si>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</si>
  <si>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</si>
  <si>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</si>
  <si>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</si>
  <si>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</si>
  <si>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</si>
  <si>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</si>
  <si>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</si>
  <si>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</si>
  <si>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</si>
  <si>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</si>
  <si>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</si>
  <si>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</si>
  <si>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</si>
  <si>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</si>
  <si>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</si>
  <si>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</si>
  <si>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</si>
  <si>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</si>
  <si>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</si>
  <si>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</si>
  <si>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</si>
  <si>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</si>
  <si>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</si>
  <si>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</si>
  <si>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</si>
  <si>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</si>
  <si>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</si>
  <si>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</si>
  <si>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</si>
  <si>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</si>
  <si>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</si>
  <si>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</si>
  <si>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</si>
  <si>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</si>
  <si>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</si>
  <si>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</si>
  <si>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</si>
  <si>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</si>
  <si>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</si>
  <si>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</si>
  <si>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</si>
  <si>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</si>
  <si>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</si>
  <si>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</si>
  <si>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</si>
  <si>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</si>
  <si>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</si>
  <si>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</si>
  <si>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</si>
  <si>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</si>
  <si>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</si>
  <si>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</si>
  <si>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</si>
  <si>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</si>
  <si>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</si>
  <si>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</si>
  <si>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</si>
  <si>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</si>
  <si>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</si>
  <si>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</si>
  <si>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</si>
  <si>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</si>
  <si>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</si>
  <si>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</si>
  <si>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</si>
  <si>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</si>
  <si>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</si>
  <si>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</si>
  <si>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</si>
  <si>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</si>
  <si>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</si>
  <si>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</si>
  <si>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</si>
  <si>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</si>
  <si>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</si>
  <si>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</si>
  <si>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</si>
  <si>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</si>
  <si>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</si>
  <si>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</si>
  <si>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</si>
  <si>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</si>
  <si>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</si>
  <si>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</si>
  <si>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</si>
  <si>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</si>
  <si>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</si>
  <si>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</si>
  <si>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</si>
  <si>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</si>
  <si>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</si>
  <si>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</si>
  <si>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</si>
  <si>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</si>
  <si>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</si>
  <si>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</si>
  <si>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</si>
  <si>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</si>
  <si>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</si>
  <si>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</si>
  <si>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</si>
  <si>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</si>
  <si>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</si>
  <si>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</si>
  <si>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</si>
  <si>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</si>
  <si>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</si>
  <si>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</si>
  <si>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</si>
  <si>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</si>
  <si>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</si>
  <si>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</si>
  <si>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</si>
  <si>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</si>
  <si>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</si>
  <si>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</si>
  <si>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</si>
  <si>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</si>
  <si>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</si>
  <si>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</si>
  <si>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</si>
  <si>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</si>
  <si>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</si>
  <si>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</si>
  <si>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</si>
  <si>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</si>
  <si>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</si>
  <si>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</si>
  <si>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</si>
  <si>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</si>
  <si>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</si>
  <si>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</si>
  <si>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</si>
  <si>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</si>
  <si>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</si>
  <si>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</si>
  <si>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</si>
  <si>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</si>
  <si>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</si>
  <si>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</si>
  <si>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</si>
  <si>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</si>
  <si>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</si>
  <si>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</si>
  <si>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</si>
  <si>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</si>
  <si>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</si>
  <si>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</si>
  <si>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</si>
  <si>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</si>
  <si>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</si>
  <si>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</si>
  <si>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</si>
  <si>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</si>
  <si>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</si>
  <si>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</si>
  <si>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</si>
  <si>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</si>
  <si>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</si>
  <si>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</si>
  <si>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</si>
  <si>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</si>
  <si>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</si>
  <si>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</si>
  <si>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</si>
  <si>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</si>
  <si>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</si>
  <si>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</si>
  <si>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</si>
  <si>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</si>
  <si>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</si>
  <si>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</si>
  <si>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</si>
  <si>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</si>
  <si>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</si>
  <si>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</si>
  <si>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</si>
  <si>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</si>
  <si>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</si>
  <si>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</si>
  <si>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</si>
  <si>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</si>
  <si>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</si>
  <si>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</si>
  <si>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</si>
  <si>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</si>
  <si>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</si>
  <si>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</si>
  <si>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</si>
  <si>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</si>
  <si>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</si>
  <si>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</si>
  <si>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</si>
  <si>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</si>
  <si>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</si>
  <si>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</si>
  <si>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</si>
  <si>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</si>
  <si>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</si>
  <si>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</si>
  <si>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</si>
  <si>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</si>
  <si>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</si>
  <si>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</si>
  <si>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</si>
  <si>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</si>
  <si>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</si>
  <si>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</si>
  <si>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</si>
  <si>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</si>
  <si>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</si>
  <si>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</si>
  <si>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</si>
  <si>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</si>
  <si>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</si>
  <si>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</si>
  <si>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</si>
  <si>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</si>
  <si>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</si>
  <si>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</si>
  <si>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</si>
  <si>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</si>
  <si>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</si>
  <si>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</si>
  <si>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</si>
  <si>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</si>
  <si>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</si>
  <si>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</si>
  <si>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</si>
  <si>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</si>
  <si>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</si>
  <si>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</si>
  <si>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</si>
  <si>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</si>
  <si>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</si>
  <si>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</si>
  <si>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</si>
  <si>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</si>
  <si>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</si>
  <si>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</si>
  <si>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</si>
  <si>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</si>
  <si>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</si>
  <si>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</si>
  <si>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</si>
  <si>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</si>
  <si>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</si>
  <si>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</si>
  <si>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</si>
  <si>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</si>
  <si>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</si>
  <si>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</si>
  <si>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</si>
  <si>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</si>
  <si>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</si>
  <si>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</si>
  <si>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</si>
  <si>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</si>
  <si>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</si>
  <si>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</si>
  <si>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</si>
  <si>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</si>
  <si>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</si>
  <si>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</si>
  <si>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</si>
  <si>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</si>
  <si>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</si>
  <si>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</si>
  <si>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</si>
  <si>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</si>
  <si>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</si>
  <si>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</si>
  <si>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</si>
  <si>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</si>
  <si>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</si>
  <si>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</si>
  <si>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</si>
  <si>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</si>
  <si>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</si>
  <si>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</si>
  <si>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</si>
  <si>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</si>
  <si>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</si>
  <si>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</si>
  <si>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</si>
  <si>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</si>
  <si>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</si>
  <si>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</si>
  <si>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</si>
  <si>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</si>
  <si>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</si>
  <si>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</si>
  <si>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</si>
  <si>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</si>
  <si>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</si>
  <si>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</si>
  <si>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</si>
  <si>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</si>
  <si>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</si>
  <si>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</si>
  <si>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</si>
  <si>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</si>
  <si>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</si>
  <si>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</si>
  <si>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</si>
  <si>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</si>
  <si>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</si>
  <si>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</si>
  <si>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</si>
  <si>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</si>
  <si>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</si>
  <si>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</si>
  <si>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</si>
  <si>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</si>
  <si>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</si>
  <si>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</si>
  <si>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</si>
  <si>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</si>
  <si>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</si>
  <si>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</si>
  <si>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</si>
  <si>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</si>
  <si>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</si>
  <si>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</si>
  <si>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</si>
  <si>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</si>
  <si>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</si>
  <si>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</si>
  <si>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</si>
  <si>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</si>
  <si>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</si>
  <si>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</si>
  <si>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</si>
  <si>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</si>
  <si>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</si>
  <si>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</si>
  <si>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</si>
  <si>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</si>
  <si>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</si>
  <si>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</si>
  <si>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</si>
  <si>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</si>
  <si>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</si>
  <si>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</si>
  <si>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</si>
  <si>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</si>
  <si>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</si>
  <si>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</si>
  <si>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</si>
  <si>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</si>
  <si>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</si>
  <si>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</si>
  <si>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</si>
  <si>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</si>
  <si>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</si>
  <si>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</si>
  <si>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</si>
  <si>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</si>
  <si>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</si>
  <si>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</si>
  <si>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</si>
  <si>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</si>
  <si>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</si>
  <si>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</si>
  <si>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</si>
  <si>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</si>
  <si>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</si>
  <si>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</si>
  <si>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</si>
  <si>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</si>
  <si>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</si>
  <si>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</si>
  <si>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</si>
  <si>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</si>
  <si>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</si>
  <si>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</si>
  <si>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</si>
  <si>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</si>
  <si>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</si>
  <si>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</si>
  <si>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</si>
  <si>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</si>
  <si>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</si>
  <si>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</si>
  <si>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</si>
  <si>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</si>
  <si>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</si>
  <si>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</si>
  <si>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</si>
  <si>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</si>
  <si>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</si>
  <si>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</si>
  <si>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</si>
  <si>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</si>
  <si>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</si>
  <si>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</si>
  <si>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</si>
  <si>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</si>
  <si>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</si>
  <si>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</si>
  <si>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</si>
  <si>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</si>
  <si>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</si>
  <si>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</si>
  <si>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</si>
  <si>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</si>
  <si>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</si>
  <si>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</si>
  <si>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</si>
  <si>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</si>
  <si>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</si>
  <si>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</si>
  <si>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</si>
  <si>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</si>
  <si>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</si>
  <si>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</si>
  <si>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</si>
  <si>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</si>
  <si>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</si>
  <si>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</si>
  <si>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</si>
  <si>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</si>
  <si>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</si>
  <si>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</si>
  <si>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</si>
  <si>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</si>
  <si>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</si>
  <si>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</si>
  <si>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</si>
  <si>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</si>
  <si>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</si>
  <si>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</si>
  <si>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</si>
  <si>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</si>
  <si>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</si>
  <si>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</si>
  <si>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</si>
  <si>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</si>
  <si>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</si>
  <si>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</si>
  <si>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</si>
  <si>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</si>
  <si>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</si>
  <si>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</si>
  <si>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</si>
  <si>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</si>
  <si>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</si>
  <si>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</si>
  <si>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</si>
  <si>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</si>
  <si>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</si>
  <si>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</si>
  <si>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</si>
  <si>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</si>
  <si>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</si>
  <si>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</si>
  <si>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</si>
  <si>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</si>
  <si>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</si>
  <si>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</si>
  <si>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</si>
  <si>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</si>
  <si>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</si>
  <si>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</si>
  <si>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</si>
  <si>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</si>
  <si>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</si>
  <si>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</si>
  <si>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</si>
  <si>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</si>
  <si>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</si>
  <si>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</si>
  <si>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</si>
  <si>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</si>
  <si>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</si>
  <si>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</si>
  <si>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</si>
  <si>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</si>
  <si>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</si>
  <si>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</si>
  <si>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</si>
  <si>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</si>
  <si>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</si>
  <si>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</si>
  <si>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</si>
  <si>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</si>
  <si>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</si>
  <si>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</si>
  <si>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</si>
  <si>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</si>
  <si>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</si>
  <si>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</si>
  <si>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</si>
  <si>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</si>
  <si>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</si>
  <si>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</si>
  <si>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</si>
  <si>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</si>
  <si>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</si>
  <si>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</si>
  <si>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</si>
  <si>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</si>
  <si>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</si>
  <si>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</si>
  <si>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</si>
  <si>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</si>
  <si>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</si>
  <si>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</si>
  <si>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</si>
  <si>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</si>
  <si>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</si>
  <si>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</si>
  <si>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</si>
  <si>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</si>
  <si>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</si>
  <si>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</si>
  <si>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</si>
  <si>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</si>
  <si>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</si>
  <si>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</si>
  <si>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</si>
  <si>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</si>
  <si>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</si>
  <si>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</si>
  <si>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</si>
  <si>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</si>
  <si>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</si>
  <si>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</si>
  <si>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</si>
  <si>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</si>
  <si>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</si>
  <si>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</si>
  <si>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</si>
  <si>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</si>
  <si>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</si>
  <si>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</si>
  <si>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</si>
  <si>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</si>
  <si>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</si>
  <si>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</si>
  <si>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</si>
  <si>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</si>
  <si>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</si>
  <si>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</si>
  <si>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</si>
  <si>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</si>
  <si>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</si>
  <si>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</si>
  <si>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</si>
  <si>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</si>
  <si>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</si>
  <si>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</si>
  <si>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</si>
  <si>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</si>
  <si>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</si>
  <si>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</si>
  <si>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</si>
  <si>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</si>
  <si>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</si>
  <si>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</si>
  <si>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</si>
  <si>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</si>
  <si>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</si>
  <si>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</si>
  <si>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</si>
  <si>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</si>
  <si>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</si>
  <si>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</si>
  <si>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</si>
  <si>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</si>
  <si>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</si>
  <si>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</si>
  <si>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</si>
  <si>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</si>
  <si>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</si>
  <si>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</si>
  <si>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</si>
  <si>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</si>
  <si>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</si>
  <si>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</si>
  <si>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</si>
  <si>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</si>
  <si>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</si>
  <si>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</si>
  <si>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</si>
  <si>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</si>
  <si>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</si>
  <si>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</si>
  <si>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</si>
  <si>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</si>
  <si>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</si>
  <si>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</si>
  <si>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</si>
  <si>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</si>
  <si>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</si>
  <si>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</si>
  <si>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</si>
  <si>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</si>
  <si>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</si>
  <si>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</si>
  <si>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</si>
  <si>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</si>
  <si>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</si>
  <si>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</si>
  <si>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</si>
  <si>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</si>
  <si>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</si>
  <si>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</si>
  <si>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</si>
  <si>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</si>
  <si>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</si>
  <si>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</si>
  <si>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</si>
  <si>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</si>
  <si>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</si>
  <si>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</si>
  <si>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</si>
  <si>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</si>
  <si>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</si>
  <si>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</si>
  <si>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</si>
  <si>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</si>
  <si>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</si>
  <si>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</si>
  <si>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</si>
  <si>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</si>
  <si>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</si>
  <si>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</si>
  <si>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</si>
  <si>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</si>
  <si>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</si>
  <si>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</si>
  <si>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</si>
  <si>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</si>
  <si>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</si>
  <si>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</si>
  <si>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</si>
  <si>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</si>
  <si>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</si>
  <si>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</si>
  <si>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</si>
  <si>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</si>
  <si>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</si>
  <si>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</si>
  <si>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</si>
  <si>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</si>
  <si>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</si>
  <si>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</si>
  <si>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</si>
  <si>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</si>
  <si>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</si>
  <si>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</si>
  <si>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</si>
  <si>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</si>
  <si>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</si>
  <si>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</si>
  <si>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</si>
  <si>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</si>
  <si>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</si>
  <si>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</si>
  <si>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</si>
  <si>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</si>
  <si>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</si>
  <si>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</si>
  <si>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</si>
  <si>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</si>
  <si>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</si>
  <si>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</si>
  <si>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</si>
  <si>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</si>
  <si>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</si>
  <si>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</si>
  <si>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</si>
  <si>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</si>
  <si>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</si>
  <si>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</si>
  <si>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</si>
  <si>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</si>
  <si>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</si>
  <si>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</si>
  <si>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</si>
  <si>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</si>
  <si>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</si>
  <si>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</si>
  <si>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ខ្នាតទំនិញ / ផលិតផល</t>
  </si>
  <si>
    <t>ឈ្មោះទីតាំង</t>
  </si>
  <si>
    <t>Retail Price</t>
  </si>
  <si>
    <t>Wholesale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</si>
  <si>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</si>
  <si>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</si>
  <si>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</si>
  <si>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</si>
  <si>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</si>
  <si>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</si>
  <si>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</si>
  <si>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</si>
  <si>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</si>
  <si>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</si>
  <si>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</si>
  <si>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</si>
  <si>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</si>
  <si>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</si>
  <si>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</si>
  <si>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</si>
  <si>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</si>
  <si>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</si>
  <si>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</si>
  <si>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</si>
  <si>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</si>
  <si>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</si>
  <si>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</si>
  <si>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</si>
  <si>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</si>
  <si>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</si>
  <si>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</si>
  <si>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</si>
  <si>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</si>
  <si>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</si>
  <si>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</si>
  <si>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</si>
  <si>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</si>
  <si>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</si>
  <si>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</si>
  <si>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</si>
  <si>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</si>
  <si>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</si>
  <si>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</si>
  <si>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</si>
  <si>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</si>
  <si>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</si>
  <si>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</si>
  <si>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</si>
  <si>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</si>
  <si>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</si>
  <si>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</si>
  <si>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</si>
  <si>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</si>
  <si>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</si>
  <si>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</si>
  <si>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</si>
  <si>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</si>
  <si>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</si>
  <si>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</si>
  <si>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</si>
  <si>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</si>
  <si>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</si>
  <si>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</si>
  <si>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</si>
  <si>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</si>
  <si>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</si>
  <si>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</si>
  <si>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</si>
  <si>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ទូរស័ព្ទនៅកន្លែងដឹក</t>
  </si>
  <si>
    <t>7</t>
  </si>
  <si>
    <t>8</t>
  </si>
  <si>
    <t>9</t>
  </si>
  <si>
    <t>03.លក់ដុំ សមាជិក</t>
  </si>
  <si>
    <t>04.លក់រាយ​ សមាជិក</t>
  </si>
  <si>
    <t>05.លក់ថ្លៃដើម</t>
  </si>
  <si>
    <t>0001.អតិថិជនទូទៅ (General)</t>
  </si>
  <si>
    <t>បង សុភា (Prom Sophea)</t>
  </si>
  <si>
    <t>អតិថិជនទូទៅ (General)</t>
  </si>
  <si>
    <t>អាករ ០%</t>
  </si>
  <si>
    <t>Total Discount</t>
  </si>
  <si>
    <t>Product Option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</si>
  <si>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</si>
  <si>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</si>
  <si>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</si>
  <si>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</si>
  <si>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</si>
  <si>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</si>
  <si>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</si>
  <si>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</si>
  <si>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</si>
  <si>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25Q000001</t>
  </si>
  <si>
    <t>098776655</t>
  </si>
  <si>
    <t>ទួលគោក</t>
  </si>
  <si>
    <t>25Q000002</t>
  </si>
  <si>
    <t>25Q000003</t>
  </si>
  <si>
    <t>សូមជ្រើសរើស ផលិតផល/ទំនិញ ខាងក្រោម</t>
  </si>
  <si>
    <t>10.សាប៊ូលាងម៉ូតូ ឡាន 4លីត្រ</t>
  </si>
  <si>
    <t>11.សាប៊ូលាងម៉ូតូ ឡាន 28លីត្រ</t>
  </si>
  <si>
    <t>12.សាប៊ូលាងម៉ូតូ ឡាន 30លីត្រ</t>
  </si>
  <si>
    <t>13.សាប៊ូលាងចាន 4លីត្រ​ ​(ប៊ីដុងចាស់)</t>
  </si>
  <si>
    <t>14.សាប៊ូបោកគក់ 4លីត្រ (ប៊ីដុងចាស់)</t>
  </si>
  <si>
    <t>15.សាប៊ូលាងចាន 0.7លីត្រ</t>
  </si>
  <si>
    <t>16.សាប៊ូលាងចាន 0.8លីត្រ</t>
  </si>
  <si>
    <t>17.សាប៊ូលាងចាន 10លីត្រ</t>
  </si>
  <si>
    <t>18.សាប៊ូបោកគក់ 10លីត្រ</t>
  </si>
  <si>
    <t>19.សាប៊ូលាងចាន 20លីត្រ</t>
  </si>
  <si>
    <t>20.សាប៊ូបោកគក់ 20លីត្រ</t>
  </si>
  <si>
    <t>21.សាប៊ូលាងចាន ២4លីត្រ</t>
  </si>
  <si>
    <t>22.សាប៊ូបោកគក់ ២4លីត្រ</t>
  </si>
  <si>
    <t>23.សាប៊ូលាងចាន 25លីត្រ</t>
  </si>
  <si>
    <t>24.សាប៊ូបោកគក់ 25លីត្រ</t>
  </si>
  <si>
    <t>សាប៊ូបញ្ចុះតម្លៃ</t>
  </si>
  <si>
    <t xml:space="preserve">Type </t>
  </si>
  <si>
    <t>កូដវិក្កយប័ត្រ</t>
  </si>
  <si>
    <t>សរុប (Unit) ៖</t>
  </si>
  <si>
    <t>002.ប្រាក់ទូទាត់លើស</t>
  </si>
  <si>
    <t>UOM</t>
  </si>
  <si>
    <t>កាលបរិច្ឆេទ :</t>
  </si>
  <si>
    <t>លេខកូដ :</t>
  </si>
  <si>
    <t>គុណ ស្រីនាង (Kun Sreyneang)</t>
  </si>
  <si>
    <t>25Q000004</t>
  </si>
  <si>
    <t>pp</t>
  </si>
  <si>
    <t>25Q000005</t>
  </si>
  <si>
    <t>099112233</t>
  </si>
  <si>
    <t>25Q000006</t>
  </si>
  <si>
    <t>លេខកូដរូបិយប័ណ្ណ</t>
  </si>
  <si>
    <t>ទីតាំងដែលត្រូវដឹកទៅ</t>
  </si>
  <si>
    <r>
      <t>លេខកូដ</t>
    </r>
    <r>
      <rPr>
        <b/>
        <sz val="11"/>
        <color rgb="FFFF0000"/>
        <rFont val="Roboto"/>
      </rPr>
      <t xml:space="preserve"> *</t>
    </r>
  </si>
  <si>
    <r>
      <t>អតិថិជន</t>
    </r>
    <r>
      <rPr>
        <b/>
        <sz val="11"/>
        <color rgb="FFFF0000"/>
        <rFont val="Roboto"/>
      </rPr>
      <t xml:space="preserve"> *</t>
    </r>
  </si>
  <si>
    <r>
      <t>សាខា</t>
    </r>
    <r>
      <rPr>
        <sz val="11"/>
        <color rgb="FFFF0000"/>
        <rFont val="Roboto"/>
      </rPr>
      <t xml:space="preserve"> *</t>
    </r>
  </si>
  <si>
    <r>
      <t>ប្រភេទសេវាកម្ម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</si>
  <si>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</si>
  <si>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</si>
  <si>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គោកឃ្លាង សែនសុខ ភ្នំពេញថ្មី ភ្នំពេញ</t>
  </si>
  <si>
    <t>ទឹកល្អក់៣ ទួលគោក ភ្នំពេញ</t>
  </si>
  <si>
    <t>ST00001</t>
  </si>
  <si>
    <t>ST00002</t>
  </si>
  <si>
    <t>ST00003</t>
  </si>
  <si>
    <t>ST00004</t>
  </si>
  <si>
    <t>បឹងសាឡាង ទឹកល្អក់៣ ទួលគោក ភ្នំពេញ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</si>
  <si>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</si>
  <si>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</si>
  <si>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</si>
  <si>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</si>
  <si>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</si>
  <si>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</si>
  <si>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Total Price Before Discount</t>
  </si>
  <si>
    <t>Before Discount</t>
  </si>
  <si>
    <t>25Q000007</t>
  </si>
  <si>
    <t>ទុំ ស្រីល័ក្ខ (Sreyleak)</t>
  </si>
  <si>
    <t>25Q000008</t>
  </si>
  <si>
    <t>09887766</t>
  </si>
  <si>
    <t>099887766</t>
  </si>
  <si>
    <t>015887768</t>
  </si>
  <si>
    <t>068887769</t>
  </si>
  <si>
    <t>ST00001.ភូមិដំរីឆ្លង ឃុំសង្វើយ ស្រុកជីក្រែង ខេត្តសៀមរាប</t>
  </si>
  <si>
    <t>ST00004.បឹងសាឡាង ទឹកល្អក់៣ ទួលគោក ភ្នំពេញ</t>
  </si>
  <si>
    <t>25Q000009</t>
  </si>
  <si>
    <t>25Q000010</t>
  </si>
  <si>
    <t>លេខវិក្កយប័ត្រ *</t>
  </si>
  <si>
    <t>\</t>
  </si>
  <si>
    <t>ស្តុកសល់ខែមុន</t>
  </si>
  <si>
    <t>2026</t>
  </si>
  <si>
    <t>៥៨៥</t>
  </si>
  <si>
    <t>0129.សំអុន (Samon)</t>
  </si>
  <si>
    <t>អត្រាប្តូរប្រាក់ផ្លូវការ : ៤.០០១រៀល / ដុល្លារ</t>
  </si>
  <si>
    <t>៥៧៩</t>
  </si>
  <si>
    <t>បាយ និងសាំង</t>
  </si>
  <si>
    <t>អត្រាប្តូរប្រាក់ : ៣១ មីនា ២០២៦</t>
  </si>
  <si>
    <t>២.៧៤២</t>
  </si>
  <si>
    <t>២.៧៦៩</t>
  </si>
  <si>
    <t>៤.៦០០</t>
  </si>
  <si>
    <t>៤.៦៤៦</t>
  </si>
  <si>
    <t>P0000001</t>
  </si>
  <si>
    <t>លេខបាកូដទំនិញ</t>
  </si>
  <si>
    <t>អំពូលភ្លើង 75W</t>
  </si>
  <si>
    <t>ឌីសង់តឺ schneder 32A</t>
  </si>
  <si>
    <t>Product Name Kh</t>
  </si>
  <si>
    <t>ឈ្មោះជាភាសាខ្មែរ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</si>
  <si>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</si>
  <si>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</si>
  <si>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</si>
  <si>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</si>
  <si>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</si>
  <si>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</si>
  <si>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តម្លៃបោះដុំ2</t>
  </si>
  <si>
    <t>តម្លៃលក់រាយ2</t>
  </si>
  <si>
    <t>Wholesale Price 2</t>
  </si>
  <si>
    <t>Retail Price 2</t>
  </si>
  <si>
    <t>Kib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</si>
  <si>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</si>
  <si>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</si>
  <si>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</si>
  <si>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</si>
  <si>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</si>
  <si>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</si>
  <si>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លក់រាយ</t>
  </si>
  <si>
    <t>លក់ដុំ</t>
  </si>
  <si>
    <t>ផ្សារលើ</t>
  </si>
  <si>
    <t>ផ្សារញ៉ែ</t>
  </si>
  <si>
    <t>ឈ្មោះក្រុមអតិថិជន</t>
  </si>
  <si>
    <t>ID</t>
  </si>
  <si>
    <t>COD</t>
  </si>
  <si>
    <t>Three Month</t>
  </si>
  <si>
    <t>Six Month</t>
  </si>
  <si>
    <t>Eight Month</t>
  </si>
  <si>
    <t>Ten Month</t>
  </si>
  <si>
    <t>Twelve Month</t>
  </si>
  <si>
    <t>Customer Company</t>
  </si>
  <si>
    <t>Social Network</t>
  </si>
  <si>
    <t>CKS0000002</t>
  </si>
  <si>
    <t>boupanha@gmail.com</t>
  </si>
  <si>
    <t>Special Customer</t>
  </si>
  <si>
    <t>CKS0000001</t>
  </si>
  <si>
    <t>015434400</t>
  </si>
  <si>
    <t>TIN987-123456789</t>
  </si>
  <si>
    <t>0001.ប៊ូ បញ្ញា (BOU Panha)</t>
  </si>
  <si>
    <t>Neom Sreymom</t>
  </si>
  <si>
    <t>Domreychlong Village, Sangvoeuy Commune, Chikraeng District, Siem Reap</t>
  </si>
  <si>
    <t>sreymom@gmail.com</t>
  </si>
  <si>
    <t>special</t>
  </si>
  <si>
    <t>0002.នឹម ស្រីមុំ (Neom Sreymom)</t>
  </si>
  <si>
    <t>CKS0000003</t>
  </si>
  <si>
    <t>ព្រុំ សុភា</t>
  </si>
  <si>
    <t>002.លក់ដុំ</t>
  </si>
  <si>
    <t>Prom Sophea</t>
  </si>
  <si>
    <t>012334455</t>
  </si>
  <si>
    <t>@nimul_02</t>
  </si>
  <si>
    <t>sophea@gmail.com</t>
  </si>
  <si>
    <t>0003.ព្រុំ សុភា (Prom Sophea)</t>
  </si>
  <si>
    <t>00002.ឌីសង់តឺ schneder 32A</t>
  </si>
  <si>
    <t>កំណត់ការកម្មង់ទិញ</t>
  </si>
  <si>
    <t>00001.អំពូលភ្លើង 75W</t>
  </si>
  <si>
    <t>04.អាករ ១០%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</si>
  <si>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</si>
  <si>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</si>
  <si>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</si>
  <si>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</si>
  <si>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</si>
  <si>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TIN987-123456790</t>
  </si>
  <si>
    <t>TIN987-123456791</t>
  </si>
  <si>
    <r>
      <t xml:space="preserve">ថ្ងៃចេញវិក្កយបត្រ </t>
    </r>
    <r>
      <rPr>
        <sz val="11"/>
        <color rgb="FFFF0000"/>
        <rFont val="Roboto"/>
      </rPr>
      <t>*</t>
    </r>
  </si>
  <si>
    <r>
      <t xml:space="preserve">ទីតាំងលក់ </t>
    </r>
    <r>
      <rPr>
        <sz val="11"/>
        <color rgb="FFFF0000"/>
        <rFont val="Content"/>
      </rPr>
      <t>*</t>
    </r>
  </si>
  <si>
    <r>
      <t>អ្នកលក់</t>
    </r>
    <r>
      <rPr>
        <sz val="11"/>
        <color rgb="FFFF0000"/>
        <rFont val="Roboto"/>
      </rPr>
      <t xml:space="preserve"> *</t>
    </r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</si>
  <si>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</si>
  <si>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</si>
  <si>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Vat Setting Id</t>
  </si>
  <si>
    <t>Total Vat</t>
  </si>
  <si>
    <t>គណនាអាករ</t>
  </si>
  <si>
    <t>ថ្ងៃចេញវិក្ក.</t>
  </si>
  <si>
    <t>Created Date</t>
  </si>
  <si>
    <t>ចំនួនហ្រ្វី</t>
  </si>
  <si>
    <t>Dis Percent</t>
  </si>
  <si>
    <t>Dis ID</t>
  </si>
  <si>
    <t>Invoice Service ID</t>
  </si>
  <si>
    <t>វិក្ក.សេវា</t>
  </si>
  <si>
    <t>Invoice Type</t>
  </si>
  <si>
    <t>ប្រភេទវិក្កយបត្រ</t>
  </si>
  <si>
    <t>ប្រភេទវិក្ក.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</si>
  <si>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</si>
  <si>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</si>
  <si>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</si>
  <si>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</si>
  <si>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</si>
  <si>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</si>
  <si>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</si>
  <si>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</si>
  <si>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</si>
  <si>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</si>
  <si>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</si>
  <si>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r>
      <t xml:space="preserve">ប្រភេទវិក្កយបត្រ </t>
    </r>
    <r>
      <rPr>
        <sz val="12"/>
        <color rgb="FFFF0000"/>
        <rFont val="Roboto"/>
      </rPr>
      <t>*</t>
    </r>
  </si>
  <si>
    <t>INOVICE PREFIX</t>
  </si>
  <si>
    <t>Invoice Normal</t>
  </si>
  <si>
    <t>CI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</si>
  <si>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</si>
  <si>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</si>
  <si>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</si>
  <si>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</si>
  <si>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</si>
  <si>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</si>
  <si>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</si>
  <si>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</si>
  <si>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</si>
  <si>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</si>
  <si>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</si>
  <si>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</si>
  <si>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</si>
  <si>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</si>
  <si>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</si>
  <si>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</si>
  <si>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</si>
  <si>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</si>
  <si>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</si>
  <si>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</si>
  <si>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</si>
  <si>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</si>
  <si>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</si>
  <si>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</si>
  <si>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</si>
  <si>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</si>
  <si>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</si>
  <si>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</si>
  <si>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</si>
  <si>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</si>
  <si>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</si>
  <si>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</si>
  <si>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</si>
  <si>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</si>
  <si>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</si>
  <si>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</si>
  <si>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</si>
  <si>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</si>
  <si>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</si>
  <si>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</si>
  <si>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លេខក្រុមទីតាំង</t>
  </si>
  <si>
    <t>Location​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</si>
  <si>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</si>
  <si>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</si>
  <si>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</si>
  <si>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</si>
  <si>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</si>
  <si>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</si>
  <si>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</si>
  <si>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</si>
  <si>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</si>
  <si>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</si>
  <si>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</si>
  <si>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</si>
  <si>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</si>
  <si>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</si>
  <si>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</si>
  <si>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</si>
  <si>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</si>
  <si>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</si>
  <si>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</si>
  <si>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</si>
  <si>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</si>
  <si>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</si>
  <si>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</si>
  <si>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WHSRC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</si>
  <si>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</si>
  <si>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</si>
  <si>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</si>
  <si>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</si>
  <si>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</si>
  <si>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</si>
  <si>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</si>
  <si>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</si>
  <si>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</si>
  <si>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</si>
  <si>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</si>
  <si>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</si>
  <si>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</si>
  <si>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</si>
  <si>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</si>
  <si>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</si>
  <si>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</si>
  <si>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</si>
  <si>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</si>
  <si>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</si>
  <si>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</si>
  <si>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</si>
  <si>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</si>
  <si>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</si>
  <si>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</si>
  <si>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</si>
  <si>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</si>
  <si>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</si>
  <si>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</si>
  <si>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</si>
  <si>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</si>
  <si>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</si>
  <si>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</si>
  <si>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</si>
  <si>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</si>
  <si>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</si>
  <si>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</si>
  <si>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</si>
  <si>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</si>
  <si>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</si>
  <si>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</si>
  <si>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</si>
  <si>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</si>
  <si>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</si>
  <si>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</si>
  <si>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</si>
  <si>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</si>
  <si>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</si>
  <si>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</si>
  <si>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</si>
  <si>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</si>
  <si>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</si>
  <si>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</si>
  <si>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</si>
  <si>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</si>
  <si>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</si>
  <si>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</si>
  <si>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</si>
  <si>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</si>
  <si>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</si>
  <si>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</si>
  <si>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</si>
  <si>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</si>
  <si>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</si>
  <si>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</si>
  <si>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</si>
  <si>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</si>
  <si>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</si>
  <si>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</si>
  <si>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</si>
  <si>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</si>
  <si>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</si>
  <si>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</si>
  <si>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</si>
  <si>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</si>
  <si>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</si>
  <si>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</si>
  <si>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</si>
  <si>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</si>
  <si>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</si>
  <si>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</si>
  <si>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</si>
  <si>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</si>
  <si>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</si>
  <si>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</si>
  <si>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</si>
  <si>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</si>
  <si>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</si>
  <si>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</si>
  <si>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</si>
  <si>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</si>
  <si>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</si>
  <si>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</si>
  <si>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</si>
  <si>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</si>
  <si>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</si>
  <si>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</si>
  <si>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</si>
  <si>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</si>
  <si>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</si>
  <si>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</si>
  <si>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</si>
  <si>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</si>
  <si>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</si>
  <si>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</si>
  <si>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</si>
  <si>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</si>
  <si>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</si>
  <si>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</si>
  <si>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</si>
  <si>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</si>
  <si>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</si>
  <si>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</si>
  <si>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</si>
  <si>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</si>
  <si>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</si>
  <si>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</si>
  <si>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</si>
  <si>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</si>
  <si>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</si>
  <si>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</si>
  <si>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</si>
  <si>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</si>
  <si>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</si>
  <si>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</si>
  <si>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</si>
  <si>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</si>
  <si>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</si>
  <si>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</si>
  <si>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</si>
  <si>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</si>
  <si>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</si>
  <si>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</si>
  <si>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</si>
  <si>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r>
      <t>អតិថិជន</t>
    </r>
    <r>
      <rPr>
        <sz val="11"/>
        <color rgb="FFFF0000"/>
        <rFont val="Roboto"/>
      </rPr>
      <t xml:space="preserve"> *</t>
    </r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</si>
  <si>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</si>
  <si>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</si>
  <si>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</si>
  <si>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</si>
  <si>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</si>
  <si>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</si>
  <si>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</si>
  <si>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</si>
  <si>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</si>
  <si>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</si>
  <si>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</si>
  <si>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</si>
  <si>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</si>
  <si>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</si>
  <si>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</si>
  <si>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</si>
  <si>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</si>
  <si>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</si>
  <si>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</si>
  <si>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</si>
  <si>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</si>
  <si>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</si>
  <si>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</si>
  <si>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</si>
  <si>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</si>
  <si>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</si>
  <si>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</si>
  <si>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</si>
  <si>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</si>
  <si>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</si>
  <si>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general_ledger_id</t>
  </si>
  <si>
    <t>chart_account_id</t>
  </si>
  <si>
    <t>company_id</t>
  </si>
  <si>
    <t>branch_id</t>
  </si>
  <si>
    <t>location_group_id</t>
  </si>
  <si>
    <t>location_id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</si>
  <si>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</si>
  <si>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</si>
  <si>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</si>
  <si>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</si>
  <si>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</si>
  <si>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</si>
  <si>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</si>
  <si>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</si>
  <si>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debit</t>
  </si>
  <si>
    <t>credit</t>
  </si>
  <si>
    <t>memo</t>
  </si>
  <si>
    <t>customer_id</t>
  </si>
  <si>
    <t>vendor_id</t>
  </si>
  <si>
    <t>employee_id</t>
  </si>
  <si>
    <t>other_id</t>
  </si>
  <si>
    <t>class_id</t>
  </si>
  <si>
    <t>Void Paid Vendor</t>
  </si>
  <si>
    <t>paid_to_vendor_id</t>
  </si>
  <si>
    <t>other_expense_id</t>
  </si>
  <si>
    <t>exchange_rate_id</t>
  </si>
  <si>
    <t>currency_center_id</t>
  </si>
  <si>
    <t>receipt_code</t>
  </si>
  <si>
    <t>amount_us</t>
  </si>
  <si>
    <t>amount_other</t>
  </si>
  <si>
    <t>discount_us</t>
  </si>
  <si>
    <t>discount_percent</t>
  </si>
  <si>
    <t>discount_other</t>
  </si>
  <si>
    <t>total_amount</t>
  </si>
  <si>
    <t>total_amount_other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</si>
  <si>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</si>
  <si>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</si>
  <si>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</si>
  <si>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</si>
  <si>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</si>
  <si>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</si>
  <si>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</si>
  <si>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</si>
  <si>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deposit_to</t>
  </si>
  <si>
    <t>general_ledger_detail_id</t>
  </si>
  <si>
    <t>amount_due</t>
  </si>
  <si>
    <t>paid</t>
  </si>
  <si>
    <t>paid_other</t>
  </si>
  <si>
    <t>discount</t>
  </si>
  <si>
    <t>21</t>
  </si>
  <si>
    <t>22</t>
  </si>
  <si>
    <t>23</t>
  </si>
  <si>
    <t>24</t>
  </si>
  <si>
    <t>26</t>
  </si>
  <si>
    <t>002.ផល​ ពិសិទ្ធ</t>
  </si>
  <si>
    <t>00001.អ្នកផ្គត់ផ្គង់ទូទៅ</t>
  </si>
  <si>
    <t>003.នឹម ស្រីមុំ</t>
  </si>
  <si>
    <t>ទីតាំងឃ្លាំងលក់</t>
  </si>
  <si>
    <t>1ដុល្លា         =</t>
  </si>
  <si>
    <t>product id</t>
  </si>
  <si>
    <t>week</t>
  </si>
  <si>
    <t>month</t>
  </si>
  <si>
    <t>year</t>
  </si>
  <si>
    <t xml:space="preserve">week </t>
  </si>
  <si>
    <t>Deposit</t>
  </si>
  <si>
    <t>Total SI Free</t>
  </si>
  <si>
    <t>Total Pos Free</t>
  </si>
  <si>
    <t>Total SR Free</t>
  </si>
  <si>
    <t>Vat Chart Account Id</t>
  </si>
  <si>
    <t>លេខគណនីអាករបន្ថែម</t>
  </si>
  <si>
    <t>CKS0000004</t>
  </si>
  <si>
    <t>Uom Sophea</t>
  </si>
  <si>
    <t>0004.Uom Sophea (Uom Sophea)</t>
  </si>
  <si>
    <t>អ៊ុំ សុភា</t>
  </si>
  <si>
    <t>CKS0000005</t>
  </si>
  <si>
    <t>កែវ ចិន្តា</t>
  </si>
  <si>
    <t>Keo Chenda</t>
  </si>
  <si>
    <t>089771122</t>
  </si>
  <si>
    <t>chenda@gmail.com</t>
  </si>
  <si>
    <t>0005.កែវ ចិន្តា (Keo Chenda)</t>
  </si>
  <si>
    <t>CKS0000006</t>
  </si>
  <si>
    <t>សុខ សម្បត្តិ</t>
  </si>
  <si>
    <t>001.លក់រាយ</t>
  </si>
  <si>
    <t>SOK Sambath</t>
  </si>
  <si>
    <t>0006.សុខ សម្បត្តិ (SOK Sambath)</t>
  </si>
  <si>
    <t>CKS0000007</t>
  </si>
  <si>
    <t>រស់ សុខសាន្ត</t>
  </si>
  <si>
    <t>Ros Soksan</t>
  </si>
  <si>
    <t>0007.រស់ សុខសាន្ត (Ros Soksan)</t>
  </si>
  <si>
    <t>CKS0000008</t>
  </si>
  <si>
    <t>សុភ័កត្រា</t>
  </si>
  <si>
    <t>Sopheaktra</t>
  </si>
  <si>
    <t>0008.សុភ័កត្រា (Sopheaktra)</t>
  </si>
  <si>
    <t>CKS0000009</t>
  </si>
  <si>
    <t>ជេមី</t>
  </si>
  <si>
    <t>004.ផ្សារញ៉ែ</t>
  </si>
  <si>
    <t>Jamy</t>
  </si>
  <si>
    <t>012889977</t>
  </si>
  <si>
    <t>0009.ជេមី (Jamy)</t>
  </si>
  <si>
    <t>CKS0000010</t>
  </si>
  <si>
    <t>មុន្នី</t>
  </si>
  <si>
    <t>Mony</t>
  </si>
  <si>
    <t>089990099</t>
  </si>
  <si>
    <t>0010.មុន្នី (Mony)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</si>
  <si>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</si>
  <si>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</si>
  <si>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</si>
  <si>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</si>
  <si>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</si>
  <si>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</si>
  <si>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</si>
  <si>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</si>
  <si>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</si>
  <si>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</si>
  <si>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</si>
  <si>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</si>
  <si>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</si>
  <si>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</si>
  <si>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</si>
  <si>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Small Val UoM</t>
  </si>
  <si>
    <t>PCS</t>
  </si>
  <si>
    <t>Kg</t>
  </si>
  <si>
    <t>Lot</t>
  </si>
  <si>
    <t>bottle</t>
  </si>
  <si>
    <t>Package</t>
  </si>
  <si>
    <t>Ctn</t>
  </si>
  <si>
    <t>Box</t>
  </si>
  <si>
    <t>m</t>
  </si>
  <si>
    <t>cm</t>
  </si>
  <si>
    <t>mm</t>
  </si>
  <si>
    <t>Case/12boxs</t>
  </si>
  <si>
    <t>Case/6boxs</t>
  </si>
  <si>
    <t>Case/6Lots</t>
  </si>
  <si>
    <t>Case/12lots</t>
  </si>
  <si>
    <t>Ctn/25kg</t>
  </si>
  <si>
    <t>Ctn/20kg</t>
  </si>
  <si>
    <t>Ctn/50kg</t>
  </si>
  <si>
    <t>002.PCS</t>
  </si>
  <si>
    <t>013.Case/12boxs</t>
  </si>
  <si>
    <t>014.Case/6boxs</t>
  </si>
  <si>
    <t>TIN Number</t>
  </si>
  <si>
    <t>E116-2600001271</t>
  </si>
  <si>
    <t>Solar Camera 6M  Hikvision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</si>
  <si>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</si>
  <si>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</si>
  <si>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</si>
  <si>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</si>
  <si>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</si>
  <si>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</si>
  <si>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</si>
  <si>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</si>
  <si>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</si>
  <si>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</si>
  <si>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</si>
  <si>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</si>
  <si>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</si>
  <si>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</si>
  <si>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</si>
  <si>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</si>
  <si>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</si>
  <si>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</si>
  <si>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</si>
  <si>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</si>
  <si>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</si>
  <si>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</si>
  <si>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</si>
  <si>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</si>
  <si>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</si>
  <si>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</si>
  <si>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</si>
  <si>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is_sys</t>
  </si>
  <si>
    <t>is_adj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</si>
  <si>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</si>
  <si>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</si>
  <si>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</si>
  <si>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</si>
  <si>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</si>
  <si>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</si>
  <si>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</si>
  <si>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</si>
  <si>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</si>
  <si>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</si>
  <si>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</si>
  <si>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</si>
  <si>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</si>
  <si>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</si>
  <si>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</si>
  <si>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</si>
  <si>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</si>
  <si>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</si>
  <si>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</si>
  <si>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</si>
  <si>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</si>
  <si>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</si>
  <si>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</si>
  <si>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</si>
  <si>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</si>
  <si>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</si>
  <si>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</si>
  <si>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</si>
  <si>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</si>
  <si>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</si>
  <si>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</si>
  <si>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</si>
  <si>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</si>
  <si>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</si>
  <si>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</si>
  <si>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</si>
  <si>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</si>
  <si>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</si>
  <si>
    <r>
      <t xml:space="preserve">ព័ត៌មានអតិថិជន </t>
    </r>
    <r>
      <rPr>
        <sz val="14"/>
        <color rgb="FF0066CC"/>
        <rFont val="Roboto Medium"/>
      </rPr>
      <t>/ CUSTOMER DETAILS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</si>
  <si>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</si>
  <si>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ច្បាប់ដើមសម្រាប់អតិថិជន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</si>
  <si>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customer, the copied one is kept by the Company.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</si>
  <si>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</si>
  <si>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</si>
  <si>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</si>
  <si>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</si>
  <si>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</si>
  <si>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</si>
  <si>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Payment Term Id</t>
  </si>
  <si>
    <t>លេខលក្ខ័ណទូទាត់</t>
  </si>
  <si>
    <t>លក្ខណទូទាត់ប្រាក់</t>
  </si>
  <si>
    <t>Amount (USD)</t>
  </si>
  <si>
    <t>Amount (KHR)</t>
  </si>
  <si>
    <t>Kambol Phnom Penh</t>
  </si>
  <si>
    <t>Chba Ampov Phnom Penh</t>
  </si>
  <si>
    <t>Kampong Thom , Cmabodia</t>
  </si>
  <si>
    <t>Kampongspeu , Cambodia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</si>
  <si>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</si>
  <si>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</si>
  <si>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</si>
  <si>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</si>
  <si>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</si>
  <si>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</si>
  <si>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</si>
  <si>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</si>
  <si>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</si>
  <si>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</si>
  <si>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 xml:space="preserve">GAND TOTAL IN WORD (KHR) : </t>
  </si>
  <si>
    <t>Chart Account AR</t>
  </si>
  <si>
    <t xml:space="preserve">អត្រាប្តូរប្រាក់ (NBC) ៖​ 1ដុល្លា = </t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</si>
  <si>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</si>
  <si>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</si>
  <si>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</si>
  <si>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</si>
  <si>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</si>
  <si>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02.Three Month</t>
  </si>
  <si>
    <t>004.Accounts Payable</t>
  </si>
  <si>
    <r>
      <t>អ្នកផ្គត់ផ្គង់</t>
    </r>
    <r>
      <rPr>
        <sz val="11"/>
        <color rgb="FFFF0000"/>
        <rFont val="Roboto"/>
      </rPr>
      <t xml:space="preserve"> *</t>
    </r>
  </si>
  <si>
    <r>
      <t xml:space="preserve">ថ្ងៃចេញវិក្កយបត្រទិញ </t>
    </r>
    <r>
      <rPr>
        <sz val="11"/>
        <color rgb="FFFF0000"/>
        <rFont val="Roboto"/>
      </rPr>
      <t>*</t>
    </r>
  </si>
  <si>
    <t>Purchase Status</t>
  </si>
  <si>
    <t>លេខបញ្ជាទិញ (PO No.)</t>
  </si>
  <si>
    <t>វិក្កយបត្រយោង (Invoice Ref)</t>
  </si>
  <si>
    <t>កាលបរិច្ឆេទវិក្កយបត្រយោង (Invoice Date Ref.)</t>
  </si>
  <si>
    <t>Total Cost</t>
  </si>
  <si>
    <t>Discount Item</t>
  </si>
  <si>
    <t>stock by date</t>
  </si>
  <si>
    <t>រកស្តុកតាមថ្ងៃ</t>
  </si>
  <si>
    <t>ថ្ងៃបង់ប្រាក់</t>
  </si>
  <si>
    <t>New Unit Cost</t>
  </si>
  <si>
    <t>Lote Number</t>
  </si>
  <si>
    <t>Purchase Receive Id</t>
  </si>
  <si>
    <t>លេខទិញ</t>
  </si>
  <si>
    <t>PR2600001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</si>
  <si>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</si>
  <si>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</si>
  <si>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</si>
  <si>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</si>
  <si>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</si>
  <si>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</si>
  <si>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</si>
  <si>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</si>
  <si>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</si>
  <si>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</si>
  <si>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</si>
  <si>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</si>
  <si>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</si>
  <si>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</si>
  <si>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</si>
  <si>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</si>
  <si>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</si>
  <si>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</si>
  <si>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</si>
  <si>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</si>
  <si>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</si>
  <si>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</si>
  <si>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</si>
  <si>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</si>
  <si>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</si>
  <si>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</si>
  <si>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</si>
  <si>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</si>
  <si>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</si>
  <si>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</si>
  <si>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</si>
  <si>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</si>
  <si>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</si>
  <si>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</si>
  <si>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</si>
  <si>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</si>
  <si>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</si>
  <si>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</si>
  <si>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</si>
  <si>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VKS003</t>
  </si>
  <si>
    <t>ខេអេភី ភីវីស៊ី</t>
  </si>
  <si>
    <t>004.អ្នកគ្រប់គ្រង់ការទិញទូទៅ</t>
  </si>
  <si>
    <t>kappvc@gmail.com</t>
  </si>
  <si>
    <t>Sensok, Phnom Penh</t>
  </si>
  <si>
    <t>បោះដុំគ្រឿងទុយោ</t>
  </si>
  <si>
    <t>VKS001</t>
  </si>
  <si>
    <t>ជីប ម៉ុង</t>
  </si>
  <si>
    <t>អ៊ឹម វិចិត្រ</t>
  </si>
  <si>
    <t>012776655</t>
  </si>
  <si>
    <t>chipmong@gmail.com</t>
  </si>
  <si>
    <t>TIN832-384274927</t>
  </si>
  <si>
    <t>chipmongco,ltd.</t>
  </si>
  <si>
    <t>Toul Kork, Phnom Penh</t>
  </si>
  <si>
    <t>001.ជីប ម៉ុង (CHIP MONG)</t>
  </si>
  <si>
    <t>KAP​ PVC</t>
  </si>
  <si>
    <t>សុខ សុវណ្ណា</t>
  </si>
  <si>
    <t>TIN545-934294892</t>
  </si>
  <si>
    <t>002.ខេអេភី ភីវីស៊ី (KAP​ PVC)</t>
  </si>
  <si>
    <t>អេសស៊ីជី ភីវីស៊ី</t>
  </si>
  <si>
    <t>SCG PVC</t>
  </si>
  <si>
    <t>ស៊ីន ច័ន្ទវល័ក្ខ</t>
  </si>
  <si>
    <t>003.អ្នកគ្រប់គ្រង់ទូទៅ</t>
  </si>
  <si>
    <t>015443322</t>
  </si>
  <si>
    <t>scg_pvc@gmail.com</t>
  </si>
  <si>
    <t>TIN4234-8947924792</t>
  </si>
  <si>
    <t>Kambol, Phnom Penh</t>
  </si>
  <si>
    <t>គ្រឿងម៉ូទ័រ និងទុយោ</t>
  </si>
  <si>
    <t>003.អេសស៊ីជី ភីវីស៊ី (SCG PVC)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</si>
  <si>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</si>
  <si>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</si>
  <si>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</si>
  <si>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</si>
  <si>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</si>
  <si>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</si>
  <si>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</si>
  <si>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</si>
  <si>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</si>
  <si>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</si>
  <si>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</si>
  <si>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</si>
  <si>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</si>
  <si>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</si>
  <si>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</si>
  <si>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</si>
  <si>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</si>
  <si>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</si>
  <si>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</si>
  <si>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</si>
  <si>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</si>
  <si>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</si>
  <si>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</si>
  <si>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</si>
  <si>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</si>
  <si>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</si>
  <si>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</si>
  <si>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</si>
  <si>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</si>
  <si>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ឆែកស្តុកក្នុងទីតាំង</t>
  </si>
  <si>
    <t>Group Total Detail</t>
  </si>
  <si>
    <t>Cost By UoM</t>
  </si>
  <si>
    <t>Old Unit Price</t>
  </si>
  <si>
    <t>01.អាករ ០%</t>
  </si>
  <si>
    <r>
      <t xml:space="preserve">ទីឃ្លាំងលក់ </t>
    </r>
    <r>
      <rPr>
        <sz val="11"/>
        <color rgb="FFFF0000"/>
        <rFont val="Content"/>
      </rPr>
      <t>*</t>
    </r>
  </si>
  <si>
    <t>Lot No.</t>
  </si>
  <si>
    <t>លេខឡតិ័</t>
  </si>
  <si>
    <t xml:space="preserve">អត្រាប្តូរប្រាក់ធនាគារជាតិ (NBC Exchage) ៖​ 1ដុល្លា = </t>
  </si>
  <si>
    <t>ក្រុងសៀមរាប</t>
  </si>
  <si>
    <t>Main Warehouse</t>
  </si>
  <si>
    <t>001.Main Warehouse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</si>
  <si>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</si>
  <si>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</si>
  <si>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</si>
  <si>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</si>
  <si>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r>
      <t xml:space="preserve">ជ្រើសរើសទីតាំង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</si>
  <si>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</si>
  <si>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</si>
  <si>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</si>
  <si>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</si>
  <si>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INV2600001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</si>
  <si>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</si>
  <si>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</si>
  <si>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</si>
  <si>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</si>
  <si>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</si>
  <si>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</si>
  <si>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</si>
  <si>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តម្លៃទំនិញ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</si>
  <si>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</si>
  <si>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</si>
  <si>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</si>
  <si>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</si>
  <si>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</si>
  <si>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</si>
  <si>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</si>
  <si>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KS01</t>
  </si>
  <si>
    <t>KS02</t>
  </si>
  <si>
    <t>KS03</t>
  </si>
  <si>
    <t>00001.អំពូលភ្លើង 75W #KS01</t>
  </si>
  <si>
    <t xml:space="preserve">អំពូលភ្លើង 75W 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</si>
  <si>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</si>
  <si>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</si>
  <si>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</si>
  <si>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</si>
  <si>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</si>
  <si>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</si>
  <si>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</si>
  <si>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</si>
  <si>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</si>
  <si>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</si>
  <si>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</si>
  <si>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t>លេខឡតិ៍</t>
  </si>
  <si>
    <t>លេខទទួលទំនិញ</t>
  </si>
  <si>
    <t>Inventory Adjust</t>
  </si>
  <si>
    <t>Advanced Bank of Asia Ltd.</t>
  </si>
  <si>
    <t>017384326 (USD)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</si>
  <si>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</si>
  <si>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កែវ វណ្ណា</t>
  </si>
  <si>
    <t>សុខ សុភ័ក្រ</t>
  </si>
  <si>
    <t>សូ ម៉ាលី</t>
  </si>
  <si>
    <t>រចនា</t>
  </si>
  <si>
    <t>សីហា</t>
  </si>
  <si>
    <t>កក្កដា</t>
  </si>
  <si>
    <t>តុលា</t>
  </si>
  <si>
    <t>016 99 22 99</t>
  </si>
  <si>
    <t>Keo Vanna</t>
  </si>
  <si>
    <t>Sok Sopheak</t>
  </si>
  <si>
    <t>So Maly</t>
  </si>
  <si>
    <t>Rachana</t>
  </si>
  <si>
    <t>Seyha</t>
  </si>
  <si>
    <t>Kakada</t>
  </si>
  <si>
    <t>Tola</t>
  </si>
  <si>
    <t>SKS-001</t>
  </si>
  <si>
    <t>SKS-002</t>
  </si>
  <si>
    <t>SKS-003</t>
  </si>
  <si>
    <t>SKS-004</t>
  </si>
  <si>
    <t>SKS-005</t>
  </si>
  <si>
    <t>SKS-006</t>
  </si>
  <si>
    <t>SKS-007</t>
  </si>
  <si>
    <t>SKS-008</t>
  </si>
  <si>
    <t>INV2600002</t>
  </si>
  <si>
    <t>001.កែវ វណ្ណា (Keo Vanna)</t>
  </si>
  <si>
    <t>Ending Stock</t>
  </si>
  <si>
    <t>Total Qty Sale</t>
  </si>
  <si>
    <t>Small</t>
  </si>
  <si>
    <t>Sum Qty Sale Group By Product</t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</si>
  <si>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</si>
  <si>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</si>
  <si>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</si>
  <si>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</si>
  <si>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</si>
  <si>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</si>
  <si>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</si>
  <si>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</si>
  <si>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</si>
  <si>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</si>
  <si>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</si>
  <si>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</si>
  <si>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</si>
  <si>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</si>
  <si>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</si>
  <si>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</si>
  <si>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</si>
  <si>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</si>
  <si>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</si>
  <si>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</si>
  <si>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</si>
  <si>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</si>
  <si>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</si>
  <si>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</si>
  <si>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</si>
  <si>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</si>
  <si>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</si>
  <si>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001.គោកស្នួល</t>
  </si>
  <si>
    <t>26ADJ000001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</si>
  <si>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</si>
  <si>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</si>
  <si>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</si>
  <si>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</si>
  <si>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</si>
  <si>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</si>
  <si>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</si>
  <si>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</si>
  <si>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</si>
  <si>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</si>
  <si>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</si>
  <si>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</si>
  <si>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</si>
  <si>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</si>
  <si>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</si>
  <si>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</si>
  <si>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2.Invoice Normal</t>
  </si>
  <si>
    <t>Uom Value</t>
  </si>
  <si>
    <t>26INV000001</t>
  </si>
  <si>
    <t>System Folder Path</t>
  </si>
  <si>
    <t>Project Folder Name</t>
  </si>
  <si>
    <t>Database folder</t>
  </si>
  <si>
    <t>D:\1_Documents\1_Companies\</t>
  </si>
  <si>
    <t>kscm_report</t>
  </si>
  <si>
    <t>config</t>
  </si>
  <si>
    <t>Database Path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</si>
  <si>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</si>
  <si>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</si>
  <si>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1.បញ្ចូលស្តុកថ្មី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</si>
</sst>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 [$R-46C]\ * #,##0_ ;_ [$R-46C]\ * \-#,##0_ ;_ [$R-46C]\ * \-_ ;_ @_ "/>
    <numFmt numFmtId="169" formatCode="_-[$$-409]* #,##0.00_ ;_-[$$-409]* \-#,##0.00\ ;_-[$$-409]* &quot;-&quot;??_ ;_-@_ "/>
    <numFmt numFmtId="170" formatCode="yyyy"/>
    <numFmt numFmtId="171" formatCode="_-[$R-46C]\ * #,##0_-;\-[$R-46C]\ * #,##0_-;_-[$R-46C]\ * &quot;-&quot;??_-;_-@_-"/>
    <numFmt numFmtId="172" formatCode="0;[Red]0"/>
    <numFmt numFmtId="173" formatCode="#,##0\ [$៛]\ "/>
    <numFmt numFmtId="174" formatCode="_-[$R-46C]\ * #,##0.00_-;\-[$R-46C]\ * #,##0.00_-;_-[$R-46C]\ * &quot;-&quot;??_-;_-@_-"/>
    <numFmt numFmtId="175" formatCode="[$-12000453]0"/>
    <numFmt numFmtId="176" formatCode="dd/mm/yyyy\ hh:mm:ss"/>
    <numFmt numFmtId="177" formatCode="#,##0;[Red]#,##0"/>
    <numFmt numFmtId="178" formatCode="0#"/>
    <numFmt numFmtId="179" formatCode="0.000000000"/>
    <numFmt numFmtId="180" formatCode="\R\ #,##0_);\(\R\ #,##0\)"/>
    <numFmt numFmtId="181" formatCode="dd/mm/yyyy\ h:mm:ss"/>
  </numFmts>
  <fonts count="31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b/>
      <sz val="12"/>
      <color rgb="FFFF0000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8"/>
      <color rgb="FF000099"/>
      <name val="Moul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b/>
      <sz val="11"/>
      <color rgb="FF000099"/>
      <name val="Content"/>
    </font>
    <font>
      <sz val="11"/>
      <color rgb="FF000099"/>
      <name val="Calibri"/>
      <family val="2"/>
      <scheme val="minor"/>
    </font>
    <font>
      <sz val="11"/>
      <color rgb="FF000099"/>
      <name val="Content"/>
    </font>
    <font>
      <sz val="14"/>
      <color rgb="FF000099"/>
      <name val="Moul"/>
    </font>
    <font>
      <b/>
      <sz val="11"/>
      <color rgb="FF00B0F0"/>
      <name val="Arial"/>
      <family val="2"/>
    </font>
    <font>
      <sz val="11"/>
      <color theme="1"/>
      <name val="Calibri Light"/>
      <family val="2"/>
      <scheme val="major"/>
    </font>
    <font>
      <sz val="10"/>
      <color rgb="FFFF0000"/>
      <name val="Khmer OS Battambang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Khmer OS Muol Light"/>
    </font>
    <font>
      <sz val="10"/>
      <color rgb="FF000000"/>
      <name val="Roboto"/>
    </font>
    <font>
      <sz val="11"/>
      <color theme="0"/>
      <name val="Content"/>
    </font>
    <font>
      <sz val="10"/>
      <color theme="0"/>
      <name val="Roboto"/>
    </font>
    <font>
      <u/>
      <sz val="11"/>
      <color rgb="FF000099"/>
      <name val="Khmer OS Battambang"/>
    </font>
    <font>
      <sz val="14"/>
      <color rgb="FF000099"/>
      <name val="Roboto Medium"/>
    </font>
    <font>
      <sz val="14"/>
      <color rgb="FFFF0000"/>
      <name val="Roboto Medium"/>
    </font>
    <font>
      <b/>
      <u/>
      <sz val="16"/>
      <color theme="0"/>
      <name val="Khmer Pen-Surin"/>
    </font>
    <font>
      <sz val="11"/>
      <name val="Content"/>
    </font>
    <font>
      <sz val="14"/>
      <color rgb="FFFF0000"/>
      <name val="Content"/>
    </font>
    <font>
      <u/>
      <sz val="14"/>
      <color rgb="FFFF0000"/>
      <name val="Content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0"/>
      <color rgb="FF000099"/>
      <name val="Content"/>
    </font>
    <font>
      <b/>
      <sz val="11"/>
      <color theme="1"/>
      <name val="Content"/>
    </font>
    <font>
      <b/>
      <sz val="11"/>
      <color rgb="FF003399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0"/>
      <color theme="0"/>
      <name val="Khmer OS Battambang"/>
    </font>
    <font>
      <sz val="11"/>
      <color rgb="FF002060"/>
      <name val="Content"/>
    </font>
    <font>
      <sz val="10"/>
      <color theme="0"/>
      <name val="Content"/>
    </font>
    <font>
      <sz val="10"/>
      <color theme="0"/>
      <name val="Calibri"/>
      <family val="2"/>
      <scheme val="minor"/>
    </font>
    <font>
      <sz val="12"/>
      <color rgb="FFFF000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1"/>
      <color rgb="FF003399"/>
      <name val="Roboto"/>
    </font>
    <font>
      <sz val="12"/>
      <color theme="1"/>
      <name val="Khmer OS Siemreap"/>
    </font>
    <font>
      <sz val="14"/>
      <color theme="1"/>
      <name val="Roboto Medium"/>
    </font>
    <font>
      <b/>
      <sz val="22"/>
      <color rgb="FFFF0000"/>
      <name val="Roboto Medium"/>
    </font>
    <font>
      <sz val="22"/>
      <color rgb="FFFF0000"/>
      <name val="Moul"/>
    </font>
    <font>
      <sz val="11"/>
      <color rgb="FF003399"/>
      <name val="Content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Roboto"/>
    </font>
    <font>
      <sz val="12"/>
      <color rgb="FF000099"/>
      <name val="Khmer OS Battambang"/>
    </font>
    <font>
      <u/>
      <sz val="11"/>
      <color rgb="FF3366FF"/>
      <name val="Roboto"/>
    </font>
    <font>
      <sz val="12"/>
      <color rgb="FF0066CC"/>
      <name val="Roboto"/>
    </font>
    <font>
      <sz val="24"/>
      <color rgb="FF0066CC"/>
      <name val="Moul"/>
    </font>
    <font>
      <u/>
      <sz val="12"/>
      <color rgb="FF3366FF"/>
      <name val="Roboto"/>
    </font>
    <font>
      <sz val="20"/>
      <color rgb="FF000099"/>
      <name val="Khmer OS Moul Light"/>
    </font>
    <font>
      <sz val="20"/>
      <color rgb="FF3366FF"/>
      <name val="Roboto Medium"/>
    </font>
    <font>
      <sz val="18"/>
      <color rgb="FF3366FF"/>
      <name val="Roboto Medium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2"/>
      <color rgb="FF3366FF"/>
      <name val="Roboto Medium"/>
    </font>
    <font>
      <sz val="11"/>
      <color rgb="FF0066CC"/>
      <name val="Roboto"/>
    </font>
    <font>
      <sz val="14"/>
      <color theme="1"/>
      <name val="Roboto"/>
    </font>
    <font>
      <sz val="12"/>
      <color indexed="9"/>
      <name val="Roboto"/>
    </font>
    <font>
      <u/>
      <sz val="14"/>
      <color rgb="FF3366FF"/>
      <name val="Roboto"/>
    </font>
    <font>
      <u/>
      <sz val="16"/>
      <color rgb="FF3366FF"/>
      <name val="Roboto Medium"/>
    </font>
    <font>
      <sz val="11"/>
      <color rgb="FF0070C0"/>
      <name val="Roboto"/>
    </font>
    <font>
      <b/>
      <sz val="12"/>
      <color rgb="FF0070C0"/>
      <name val="Roboto"/>
    </font>
    <font>
      <sz val="18"/>
      <color theme="1"/>
      <name val="Khmer Muol"/>
    </font>
    <font>
      <sz val="12"/>
      <color rgb="FF0070C0"/>
      <name val="Roboto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2"/>
      <color indexed="10"/>
      <name val="Roboto"/>
    </font>
    <font>
      <b/>
      <sz val="22"/>
      <color rgb="FF0066CC"/>
      <name val="Roboto"/>
    </font>
    <font>
      <sz val="22"/>
      <color rgb="FF0066CC"/>
      <name val="Roboto Medium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6"/>
      <color rgb="FFFF6600"/>
      <name val="Roboto Medium"/>
    </font>
    <font>
      <sz val="18"/>
      <color rgb="FF0070C0"/>
      <name val="Roboto Medium"/>
    </font>
    <font>
      <sz val="12"/>
      <color rgb="FF0070C0"/>
      <name val="Roboto Medium"/>
    </font>
    <font>
      <b/>
      <sz val="22"/>
      <color rgb="FF0070C0"/>
      <name val="Roboto Medium"/>
    </font>
    <font>
      <sz val="16"/>
      <color rgb="FFFF0000"/>
      <name val="Roboto"/>
    </font>
    <font>
      <u/>
      <sz val="11"/>
      <color rgb="FFFF6600"/>
      <name val="Roboto"/>
    </font>
    <font>
      <sz val="12"/>
      <color rgb="FF0066CC"/>
      <name val="Content"/>
    </font>
    <font>
      <sz val="11"/>
      <color rgb="FF002060"/>
      <name val="Khmer OS Battambang"/>
    </font>
    <font>
      <sz val="12"/>
      <color theme="4" tint="-0.499984740745262"/>
      <name val="Content"/>
    </font>
    <font>
      <sz val="11"/>
      <color theme="4" tint="-0.499984740745262"/>
      <name val="Roboto"/>
    </font>
    <font>
      <u/>
      <sz val="14"/>
      <color rgb="FF0066CC"/>
      <name val="Khmer S4"/>
    </font>
    <font>
      <sz val="14"/>
      <color rgb="FF0066CC"/>
      <name val="Content"/>
    </font>
    <font>
      <sz val="11"/>
      <color rgb="FFFF6600"/>
      <name val="Content"/>
    </font>
    <font>
      <sz val="12"/>
      <color rgb="FFFF6600"/>
      <name val="Roboto"/>
    </font>
    <font>
      <sz val="14"/>
      <color rgb="FF0066CC"/>
      <name val="Roboto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6"/>
      <color rgb="FF3366FF"/>
      <name val="Roboto Medium"/>
    </font>
    <font>
      <sz val="26"/>
      <color rgb="FF99CC00"/>
      <name val="Roboto Medium"/>
    </font>
    <font>
      <sz val="11"/>
      <color rgb="FF0070C0"/>
      <name val="Khmer OS Battambang"/>
    </font>
    <font>
      <sz val="11"/>
      <color rgb="FF0070C0"/>
      <name val="Roboto "/>
    </font>
    <font>
      <sz val="14"/>
      <color rgb="FFFF6600"/>
      <name val="Roboto Medium"/>
    </font>
    <font>
      <u/>
      <sz val="14"/>
      <color rgb="FF3366FF"/>
      <name val="Khmer OS Battambang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sz val="11"/>
      <color rgb="FF0070C0"/>
      <name val="Khmer Muol"/>
    </font>
    <font>
      <sz val="11"/>
      <color rgb="FF0070C0"/>
      <name val="Roboto Medium"/>
    </font>
    <font>
      <b/>
      <u/>
      <sz val="11"/>
      <color rgb="FF0070C0"/>
      <name val="Content"/>
    </font>
    <font>
      <u/>
      <sz val="14"/>
      <color rgb="FF0070C0"/>
      <name val="Moul"/>
    </font>
    <font>
      <sz val="12"/>
      <color rgb="FF0066CC"/>
      <name val="Khmer OS Battambang"/>
    </font>
    <font>
      <sz val="24"/>
      <color rgb="FF3366FF"/>
      <name val="Roboto"/>
    </font>
    <font>
      <sz val="14"/>
      <color rgb="FF3366FF"/>
      <name val="Khmer OS Battambang"/>
    </font>
    <font>
      <u/>
      <sz val="12"/>
      <color rgb="FF3366FF"/>
      <name val="Content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48"/>
      <color rgb="FF0070C0"/>
      <name val="Roboto Medium"/>
    </font>
    <font>
      <sz val="16"/>
      <color rgb="FF0070C0"/>
      <name val="Khmer Muol"/>
    </font>
    <font>
      <sz val="20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10"/>
      <color theme="1"/>
      <name val="Moul"/>
    </font>
    <font>
      <b/>
      <sz val="10"/>
      <color theme="1"/>
      <name val="Khmer OS Battambang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u/>
      <sz val="12"/>
      <color rgb="FF0066CC"/>
      <name val="Roboto Medium"/>
    </font>
    <font>
      <b/>
      <sz val="12"/>
      <color rgb="FF0066CC"/>
      <name val="Content"/>
    </font>
    <font>
      <sz val="12"/>
      <color theme="1" tint="0.34998626667073579"/>
      <name val="Content"/>
    </font>
    <font>
      <sz val="14"/>
      <color rgb="FF0066CC"/>
      <name val="Roboto Medium"/>
    </font>
    <font>
      <u/>
      <sz val="11"/>
      <color theme="1"/>
      <name val="Roboto"/>
    </font>
    <font>
      <sz val="10"/>
      <color rgb="FF0066CC"/>
      <name val="Content"/>
    </font>
    <font>
      <sz val="10"/>
      <color rgb="FF0066CC"/>
      <name val="Roboto"/>
    </font>
    <font>
      <sz val="16"/>
      <color rgb="FF0066CC"/>
      <name val="Roboto Medium"/>
    </font>
    <font>
      <sz val="14"/>
      <color rgb="FF3366FF"/>
      <name val="Roboto Medium"/>
    </font>
    <font>
      <sz val="12"/>
      <color rgb="FF3366FF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b/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Calibri"/>
      <family val="2"/>
      <scheme val="minor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6"/>
      <color theme="1"/>
      <name val="Content"/>
    </font>
    <font>
      <sz val="12"/>
      <color theme="0"/>
      <name val="Roboto Medium"/>
    </font>
    <font>
      <sz val="12"/>
      <color theme="0"/>
      <name val="Calibri"/>
      <family val="2"/>
      <scheme val="minor"/>
    </font>
    <font>
      <sz val="12"/>
      <color theme="0"/>
      <name val="Khmer OS Battambang"/>
    </font>
    <font>
      <sz val="22"/>
      <color rgb="FF0070C0"/>
      <name val="Moul"/>
    </font>
    <font>
      <u/>
      <sz val="11"/>
      <color rgb="FF0066CC"/>
      <name val="Roboto"/>
    </font>
    <font>
      <sz val="10"/>
      <color theme="1"/>
      <name val="Khmer OS Content"/>
    </font>
    <font>
      <sz val="28"/>
      <color rgb="FF99CC00"/>
      <name val="Roboto Medium"/>
    </font>
    <font>
      <sz val="11"/>
      <color rgb="FF0066CC"/>
      <name val="Khmer OS Content"/>
    </font>
    <font>
      <sz val="14"/>
      <color theme="1"/>
      <name val="Moul"/>
    </font>
    <font>
      <u/>
      <sz val="11"/>
      <color theme="10"/>
      <name val="Roboto"/>
    </font>
    <font>
      <u/>
      <sz val="18"/>
      <color rgb="FFFF0000"/>
      <name val="Khmer Muol"/>
    </font>
    <font>
      <sz val="10"/>
      <color rgb="FFFF0000"/>
      <name val="Roboto Medium"/>
    </font>
    <font>
      <u/>
      <sz val="11"/>
      <color rgb="FF3366FF"/>
      <name val="Content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sz val="11"/>
      <color rgb="FF0066CC"/>
      <name val="Calibri"/>
      <family val="2"/>
      <scheme val="minor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u/>
      <sz val="16"/>
      <color rgb="FF3366FF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1"/>
      <color theme="1"/>
      <name val="Moul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u/>
      <sz val="9"/>
      <color rgb="FF3366FF"/>
      <name val="Roboto"/>
    </font>
    <font>
      <sz val="12"/>
      <color theme="0" tint="-0.249977111117893"/>
      <name val="Roboto"/>
    </font>
    <font>
      <sz val="12"/>
      <color theme="0" tint="-0.249977111117893"/>
      <name val="Roboto Medium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2"/>
      <color theme="0" tint="-0.249977111117893"/>
      <name val="Content"/>
    </font>
    <font>
      <b/>
      <sz val="13"/>
      <color theme="1"/>
      <name val="Khmer OS Battambang"/>
    </font>
    <font>
      <u/>
      <sz val="12"/>
      <color theme="1"/>
      <name val="Roboto Medium"/>
    </font>
    <font>
      <sz val="13"/>
      <color rgb="FF0066CC"/>
      <name val="Roboto Medium"/>
    </font>
    <font>
      <sz val="13"/>
      <color theme="1"/>
      <name val="Content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sz val="28"/>
      <color rgb="FF0070C0"/>
      <name val="Roboto Medium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u/>
      <sz val="16"/>
      <color rgb="FF3366FF"/>
      <name val="Roboto "/>
    </font>
    <font>
      <sz val="22"/>
      <color rgb="FF0066CC"/>
      <name val="Kh Muol"/>
    </font>
    <font>
      <sz val="22"/>
      <color rgb="FF0066CC"/>
      <name val="Roboto"/>
    </font>
    <font>
      <sz val="14"/>
      <color rgb="FF0066CC"/>
      <name val="Khmer OS Battambang"/>
    </font>
    <font>
      <sz val="11"/>
      <color theme="0" tint="-0.249977111117893"/>
      <name val="Khmer OS Battambang"/>
    </font>
    <font>
      <sz val="16"/>
      <color theme="5" tint="-0.249977111117893"/>
      <name val="Khmer OS Battambang"/>
    </font>
    <font>
      <sz val="11"/>
      <color theme="0" tint="-0.1499984740745262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2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/>
      <bottom style="dashed">
        <color indexed="64"/>
      </bottom>
      <diagonal/>
    </border>
    <border>
      <left/>
      <right style="thin">
        <color theme="4" tint="0.59999389629810485"/>
      </right>
      <top/>
      <bottom style="dashed">
        <color indexed="64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79998168889431442"/>
      </right>
      <top/>
      <bottom/>
      <diagonal/>
    </border>
    <border>
      <left/>
      <right/>
      <top/>
      <bottom style="medium">
        <color theme="4" tint="0.79998168889431442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79998168889431442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 style="thin">
        <color theme="4" tint="0.79998168889431442"/>
      </right>
      <top/>
      <bottom/>
      <diagonal/>
    </border>
    <border>
      <left style="thin">
        <color theme="4" tint="-0.249977111117893"/>
      </left>
      <right style="medium">
        <color theme="0"/>
      </right>
      <top style="thin">
        <color theme="4" tint="-0.249977111117893"/>
      </top>
      <bottom/>
      <diagonal/>
    </border>
    <border>
      <left style="medium">
        <color theme="0"/>
      </left>
      <right style="medium">
        <color theme="0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medium">
        <color theme="0"/>
      </right>
      <top/>
      <bottom style="thin">
        <color theme="4" tint="-0.249977111117893"/>
      </bottom>
      <diagonal/>
    </border>
    <border>
      <left style="medium">
        <color theme="0"/>
      </left>
      <right style="medium">
        <color theme="0"/>
      </right>
      <top/>
      <bottom style="thin">
        <color theme="4" tint="-0.249977111117893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medium">
        <color theme="2" tint="-9.9978637043366805E-2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dashed">
        <color indexed="64"/>
      </bottom>
      <diagonal/>
    </border>
    <border>
      <left/>
      <right style="thin">
        <color theme="0" tint="-0.14999847407452621"/>
      </right>
      <top/>
      <bottom style="dashed">
        <color indexed="64"/>
      </bottom>
      <diagonal/>
    </border>
    <border>
      <left style="thin">
        <color theme="0" tint="-0.14999847407452621"/>
      </left>
      <right style="medium">
        <color theme="4" tint="0.7999816888943144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4" tint="0.7999816888943144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14999847407452621"/>
      </bottom>
      <diagonal/>
    </border>
    <border>
      <left/>
      <right style="thin">
        <color theme="0" tint="-0.249977111117893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Dashed">
        <color theme="4" tint="0.39997558519241921"/>
      </left>
      <right/>
      <top style="mediumDashed">
        <color theme="4" tint="0.39997558519241921"/>
      </top>
      <bottom/>
      <diagonal/>
    </border>
    <border>
      <left/>
      <right/>
      <top style="mediumDashed">
        <color theme="4" tint="0.39997558519241921"/>
      </top>
      <bottom/>
      <diagonal/>
    </border>
    <border>
      <left/>
      <right style="mediumDashed">
        <color theme="4" tint="0.39997558519241921"/>
      </right>
      <top style="mediumDashed">
        <color theme="4" tint="0.39997558519241921"/>
      </top>
      <bottom/>
      <diagonal/>
    </border>
    <border>
      <left style="mediumDashed">
        <color theme="4" tint="0.39997558519241921"/>
      </left>
      <right/>
      <top/>
      <bottom/>
      <diagonal/>
    </border>
    <border>
      <left/>
      <right style="mediumDashed">
        <color theme="4" tint="0.39997558519241921"/>
      </right>
      <top/>
      <bottom/>
      <diagonal/>
    </border>
    <border>
      <left style="mediumDashed">
        <color theme="4" tint="0.39997558519241921"/>
      </left>
      <right/>
      <top style="thin">
        <color theme="0" tint="-0.249977111117893"/>
      </top>
      <bottom/>
      <diagonal/>
    </border>
    <border>
      <left/>
      <right style="mediumDashed">
        <color theme="4" tint="0.39997558519241921"/>
      </right>
      <top style="thin">
        <color theme="0" tint="-0.249977111117893"/>
      </top>
      <bottom/>
      <diagonal/>
    </border>
    <border>
      <left style="mediumDashed">
        <color theme="4" tint="0.39997558519241921"/>
      </left>
      <right/>
      <top/>
      <bottom style="mediumDashed">
        <color theme="4" tint="0.39997558519241921"/>
      </bottom>
      <diagonal/>
    </border>
    <border>
      <left/>
      <right/>
      <top/>
      <bottom style="mediumDashed">
        <color theme="4" tint="0.39997558519241921"/>
      </bottom>
      <diagonal/>
    </border>
    <border>
      <left/>
      <right style="mediumDashed">
        <color theme="4" tint="0.39997558519241921"/>
      </right>
      <top/>
      <bottom style="mediumDashed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/>
      <top/>
      <bottom style="thin">
        <color theme="0" tint="-0.249977111117893"/>
      </bottom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rgb="FFFF0000"/>
      </left>
      <right style="thin">
        <color theme="0" tint="-0.249977111117893"/>
      </right>
      <top style="medium">
        <color rgb="FFFF0000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rgb="FFFF0000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rgb="FFFF0000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FF0000"/>
      </right>
      <top style="medium">
        <color rgb="FFFF0000"/>
      </top>
      <bottom style="thin">
        <color theme="0" tint="-0.249977111117893"/>
      </bottom>
      <diagonal/>
    </border>
    <border>
      <left style="medium">
        <color rgb="FFFF0000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FF000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FF0000"/>
      </left>
      <right style="thin">
        <color theme="0" tint="-0.249977111117893"/>
      </right>
      <top style="thin">
        <color theme="0" tint="-0.249977111117893"/>
      </top>
      <bottom style="medium">
        <color rgb="FFFF000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FF0000"/>
      </bottom>
      <diagonal/>
    </border>
    <border>
      <left style="thin">
        <color theme="0" tint="-0.249977111117893"/>
      </left>
      <right style="medium">
        <color rgb="FFFF0000"/>
      </right>
      <top style="thin">
        <color theme="0" tint="-0.249977111117893"/>
      </top>
      <bottom style="medium">
        <color rgb="FFFF0000"/>
      </bottom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 style="thin">
        <color theme="4" tint="0.59999389629810485"/>
      </right>
      <top/>
      <bottom style="medium">
        <color rgb="FF0070C0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rgb="FF0070C0"/>
      </bottom>
      <diagonal/>
    </border>
    <border>
      <left style="thin">
        <color theme="4" tint="0.59999389629810485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thin">
        <color theme="4" tint="0.59999389629810485"/>
      </right>
      <top/>
      <bottom/>
      <diagonal/>
    </border>
    <border>
      <left style="thin">
        <color theme="4" tint="0.59999389629810485"/>
      </left>
      <right style="medium">
        <color rgb="FF0070C0"/>
      </right>
      <top/>
      <bottom/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  <xf numFmtId="0" fontId="13" fillId="10" borderId="0" applyNumberFormat="0" applyBorder="0" applyAlignment="0" applyProtection="0"/>
  </cellStyleXfs>
  <cellXfs count="1873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0" fontId="10" fillId="0" borderId="0" xfId="0" applyFont="1"/>
    <xf numFmtId="1" fontId="10" fillId="0" borderId="0" xfId="0" applyNumberFormat="1" applyFont="1"/>
    <xf numFmtId="0" fontId="10" fillId="0" borderId="5" xfId="0" applyFont="1" applyBorder="1" applyAlignment="1">
      <alignment horizontal="right"/>
    </xf>
    <xf numFmtId="0" fontId="10" fillId="0" borderId="0" xfId="0" applyFont="1" applyAlignment="1">
      <alignment horizontal="center"/>
    </xf>
    <xf numFmtId="0" fontId="6" fillId="0" borderId="0" xfId="0" applyFont="1"/>
    <xf numFmtId="9" fontId="6" fillId="0" borderId="0" xfId="2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6" xfId="0" applyFont="1" applyBorder="1"/>
    <xf numFmtId="0" fontId="10" fillId="0" borderId="13" xfId="0" applyFont="1" applyBorder="1"/>
    <xf numFmtId="0" fontId="10" fillId="0" borderId="5" xfId="0" applyFont="1" applyBorder="1"/>
    <xf numFmtId="0" fontId="10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6" fillId="0" borderId="2" xfId="0" applyFont="1" applyBorder="1" applyAlignment="1">
      <alignment horizontal="center"/>
    </xf>
    <xf numFmtId="0" fontId="10" fillId="0" borderId="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0" fontId="11" fillId="0" borderId="3" xfId="0" applyFont="1" applyBorder="1"/>
    <xf numFmtId="0" fontId="10" fillId="0" borderId="15" xfId="0" applyFont="1" applyBorder="1"/>
    <xf numFmtId="14" fontId="3" fillId="3" borderId="3" xfId="0" applyNumberFormat="1" applyFont="1" applyFill="1" applyBorder="1" applyAlignment="1" applyProtection="1">
      <alignment vertical="center"/>
      <protection locked="0"/>
    </xf>
    <xf numFmtId="14" fontId="3" fillId="3" borderId="3" xfId="0" applyNumberFormat="1" applyFont="1" applyFill="1" applyBorder="1" applyAlignment="1" applyProtection="1">
      <alignment horizontal="center" vertical="center"/>
      <protection locked="0"/>
    </xf>
    <xf numFmtId="1" fontId="3" fillId="3" borderId="10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0" xfId="0" applyAlignment="1">
      <alignment wrapText="1"/>
    </xf>
    <xf numFmtId="0" fontId="10" fillId="0" borderId="15" xfId="0" applyFont="1" applyBorder="1" applyAlignment="1">
      <alignment vertical="center"/>
    </xf>
    <xf numFmtId="0" fontId="4" fillId="0" borderId="0" xfId="1" applyFill="1" applyBorder="1"/>
    <xf numFmtId="0" fontId="21" fillId="0" borderId="0" xfId="0" applyFont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center" vertical="center"/>
    </xf>
    <xf numFmtId="0" fontId="22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1" fontId="6" fillId="0" borderId="0" xfId="3" applyNumberFormat="1" applyFont="1" applyFill="1" applyBorder="1" applyAlignment="1">
      <alignment horizontal="left"/>
    </xf>
    <xf numFmtId="0" fontId="10" fillId="0" borderId="15" xfId="0" quotePrefix="1" applyFont="1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9" fillId="0" borderId="0" xfId="0" applyFont="1"/>
    <xf numFmtId="0" fontId="0" fillId="0" borderId="5" xfId="0" applyBorder="1"/>
    <xf numFmtId="0" fontId="5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8" fillId="0" borderId="5" xfId="0" applyFont="1" applyBorder="1" applyAlignment="1">
      <alignment horizontal="right" vertical="center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1" fontId="13" fillId="0" borderId="0" xfId="0" applyNumberFormat="1" applyFont="1"/>
    <xf numFmtId="0" fontId="13" fillId="0" borderId="3" xfId="0" applyFont="1" applyBorder="1" applyAlignment="1">
      <alignment horizontal="right" vertical="top" indent="1"/>
    </xf>
    <xf numFmtId="0" fontId="13" fillId="0" borderId="4" xfId="0" applyFont="1" applyBorder="1" applyAlignment="1">
      <alignment horizontal="right" vertical="top" indent="1"/>
    </xf>
    <xf numFmtId="14" fontId="13" fillId="0" borderId="6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2" fillId="0" borderId="1" xfId="0" applyFont="1" applyBorder="1" applyAlignment="1">
      <alignment horizontal="left"/>
    </xf>
    <xf numFmtId="0" fontId="15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3" fillId="3" borderId="10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6" fillId="0" borderId="1" xfId="0" applyFont="1" applyBorder="1"/>
    <xf numFmtId="0" fontId="6" fillId="0" borderId="4" xfId="0" applyFont="1" applyBorder="1"/>
    <xf numFmtId="14" fontId="13" fillId="0" borderId="13" xfId="0" applyNumberFormat="1" applyFont="1" applyBorder="1" applyAlignment="1">
      <alignment horizontal="center" vertical="center"/>
    </xf>
    <xf numFmtId="0" fontId="18" fillId="0" borderId="0" xfId="0" applyFont="1"/>
    <xf numFmtId="0" fontId="13" fillId="0" borderId="0" xfId="0" applyFont="1" applyAlignment="1">
      <alignment vertical="center"/>
    </xf>
    <xf numFmtId="0" fontId="4" fillId="0" borderId="0" xfId="1" applyAlignment="1" applyProtection="1">
      <alignment vertical="top"/>
      <protection locked="0"/>
    </xf>
    <xf numFmtId="0" fontId="4" fillId="0" borderId="0" xfId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horizontal="center" vertical="center" wrapText="1"/>
      <protection locked="0"/>
    </xf>
    <xf numFmtId="1" fontId="10" fillId="0" borderId="17" xfId="0" applyNumberFormat="1" applyFont="1" applyBorder="1" applyAlignment="1" applyProtection="1">
      <alignment horizontal="center" vertical="center" wrapText="1"/>
      <protection locked="0"/>
    </xf>
    <xf numFmtId="2" fontId="10" fillId="0" borderId="17" xfId="0" applyNumberFormat="1" applyFont="1" applyBorder="1" applyAlignment="1" applyProtection="1">
      <alignment horizontal="center" vertical="center" wrapText="1"/>
      <protection locked="0"/>
    </xf>
    <xf numFmtId="43" fontId="10" fillId="0" borderId="17" xfId="3" applyFont="1" applyBorder="1" applyAlignment="1" applyProtection="1">
      <alignment horizontal="center" vertical="center"/>
      <protection locked="0"/>
    </xf>
    <xf numFmtId="2" fontId="10" fillId="0" borderId="17" xfId="0" applyNumberFormat="1" applyFont="1" applyBorder="1" applyAlignment="1" applyProtection="1">
      <alignment horizontal="right" vertical="center" wrapText="1"/>
      <protection locked="0"/>
    </xf>
    <xf numFmtId="9" fontId="10" fillId="0" borderId="17" xfId="0" applyNumberFormat="1" applyFont="1" applyBorder="1" applyAlignment="1" applyProtection="1">
      <alignment horizontal="center" wrapText="1"/>
      <protection locked="0"/>
    </xf>
    <xf numFmtId="1" fontId="10" fillId="0" borderId="17" xfId="0" applyNumberFormat="1" applyFont="1" applyBorder="1" applyAlignment="1" applyProtection="1">
      <alignment wrapText="1"/>
      <protection locked="0"/>
    </xf>
    <xf numFmtId="2" fontId="10" fillId="0" borderId="17" xfId="0" applyNumberFormat="1" applyFont="1" applyBorder="1" applyAlignment="1" applyProtection="1">
      <alignment horizontal="right" wrapText="1"/>
      <protection locked="0"/>
    </xf>
    <xf numFmtId="14" fontId="10" fillId="0" borderId="17" xfId="0" applyNumberFormat="1" applyFont="1" applyBorder="1" applyAlignment="1" applyProtection="1">
      <alignment horizontal="center" wrapText="1"/>
      <protection locked="0"/>
    </xf>
    <xf numFmtId="14" fontId="3" fillId="3" borderId="0" xfId="0" applyNumberFormat="1" applyFont="1" applyFill="1" applyAlignment="1" applyProtection="1">
      <alignment vertical="center"/>
      <protection locked="0"/>
    </xf>
    <xf numFmtId="0" fontId="10" fillId="0" borderId="18" xfId="0" applyFont="1" applyBorder="1" applyAlignment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wrapText="1"/>
    </xf>
    <xf numFmtId="0" fontId="10" fillId="0" borderId="20" xfId="0" applyFont="1" applyBorder="1" applyAlignment="1">
      <alignment horizontal="center" wrapText="1"/>
    </xf>
    <xf numFmtId="14" fontId="10" fillId="0" borderId="21" xfId="0" applyNumberFormat="1" applyFont="1" applyBorder="1" applyAlignment="1" applyProtection="1">
      <alignment horizontal="center" wrapText="1"/>
      <protection locked="0"/>
    </xf>
    <xf numFmtId="1" fontId="10" fillId="0" borderId="21" xfId="0" applyNumberFormat="1" applyFont="1" applyBorder="1" applyAlignment="1" applyProtection="1">
      <alignment wrapText="1"/>
      <protection locked="0"/>
    </xf>
    <xf numFmtId="2" fontId="10" fillId="0" borderId="21" xfId="0" applyNumberFormat="1" applyFont="1" applyBorder="1" applyAlignment="1" applyProtection="1">
      <alignment horizontal="right" wrapText="1"/>
      <protection locked="0"/>
    </xf>
    <xf numFmtId="2" fontId="10" fillId="0" borderId="21" xfId="0" applyNumberFormat="1" applyFont="1" applyBorder="1" applyAlignment="1" applyProtection="1">
      <alignment horizontal="center" wrapText="1"/>
      <protection locked="0"/>
    </xf>
    <xf numFmtId="165" fontId="10" fillId="0" borderId="22" xfId="3" applyNumberFormat="1" applyFont="1" applyBorder="1" applyAlignment="1" applyProtection="1">
      <alignment horizontal="center" wrapText="1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15" xfId="0" applyFont="1" applyBorder="1" applyAlignme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5" xfId="0" applyFont="1" applyBorder="1" applyAlignment="1">
      <alignment horizontal="right"/>
    </xf>
    <xf numFmtId="0" fontId="7" fillId="0" borderId="3" xfId="0" applyFont="1" applyBorder="1"/>
    <xf numFmtId="0" fontId="20" fillId="0" borderId="0" xfId="0" applyFont="1"/>
    <xf numFmtId="165" fontId="10" fillId="0" borderId="19" xfId="3" applyNumberFormat="1" applyFont="1" applyBorder="1" applyAlignment="1" applyProtection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0" xfId="0" applyFont="1"/>
    <xf numFmtId="0" fontId="9" fillId="0" borderId="0" xfId="0" applyFont="1" applyAlignment="1">
      <alignment vertical="center"/>
    </xf>
    <xf numFmtId="0" fontId="36" fillId="0" borderId="0" xfId="0" applyFont="1"/>
    <xf numFmtId="0" fontId="36" fillId="0" borderId="0" xfId="0" quotePrefix="1" applyFont="1"/>
    <xf numFmtId="0" fontId="39" fillId="0" borderId="0" xfId="0" applyFont="1"/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53" fillId="0" borderId="0" xfId="0" applyNumberFormat="1" applyFont="1"/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0" fillId="0" borderId="0" xfId="0" applyAlignment="1">
      <alignment horizontal="left"/>
    </xf>
    <xf numFmtId="0" fontId="3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0" borderId="0" xfId="0" applyFont="1"/>
    <xf numFmtId="49" fontId="38" fillId="0" borderId="0" xfId="0" applyNumberFormat="1" applyFont="1" applyAlignment="1">
      <alignment horizontal="left" vertical="center"/>
    </xf>
    <xf numFmtId="49" fontId="0" fillId="0" borderId="0" xfId="0" applyNumberFormat="1"/>
    <xf numFmtId="0" fontId="40" fillId="0" borderId="0" xfId="0" applyFont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66" fillId="0" borderId="0" xfId="0" applyFont="1"/>
    <xf numFmtId="0" fontId="10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42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4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51" fillId="0" borderId="0" xfId="0" applyFont="1" applyAlignment="1">
      <alignment vertical="top"/>
    </xf>
    <xf numFmtId="0" fontId="61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57" fillId="0" borderId="0" xfId="0" applyFont="1"/>
    <xf numFmtId="0" fontId="62" fillId="0" borderId="0" xfId="0" applyFont="1"/>
    <xf numFmtId="0" fontId="6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71" fillId="0" borderId="0" xfId="0" applyFont="1" applyAlignment="1">
      <alignment horizontal="right"/>
    </xf>
    <xf numFmtId="0" fontId="44" fillId="0" borderId="0" xfId="0" applyFont="1" applyAlignment="1">
      <alignment horizontal="left" vertical="top"/>
    </xf>
    <xf numFmtId="0" fontId="66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173" fontId="42" fillId="0" borderId="0" xfId="0" applyNumberFormat="1" applyFont="1" applyAlignment="1">
      <alignment horizontal="left"/>
    </xf>
    <xf numFmtId="49" fontId="39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top"/>
    </xf>
    <xf numFmtId="0" fontId="72" fillId="0" borderId="0" xfId="0" applyFont="1" applyAlignment="1">
      <alignment vertical="top"/>
    </xf>
    <xf numFmtId="0" fontId="39" fillId="0" borderId="0" xfId="0" applyFont="1" applyAlignment="1">
      <alignment horizontal="right" vertical="center"/>
    </xf>
    <xf numFmtId="1" fontId="42" fillId="0" borderId="0" xfId="0" applyNumberFormat="1" applyFont="1"/>
    <xf numFmtId="0" fontId="76" fillId="0" borderId="0" xfId="0" applyFont="1"/>
    <xf numFmtId="0" fontId="76" fillId="0" borderId="0" xfId="0" applyFont="1" applyAlignment="1">
      <alignment horizontal="left" vertical="center"/>
    </xf>
    <xf numFmtId="173" fontId="81" fillId="0" borderId="0" xfId="0" applyNumberFormat="1" applyFont="1" applyAlignment="1">
      <alignment horizontal="left"/>
    </xf>
    <xf numFmtId="0" fontId="82" fillId="0" borderId="0" xfId="0" applyFont="1"/>
    <xf numFmtId="0" fontId="56" fillId="0" borderId="0" xfId="0" applyFont="1" applyAlignment="1">
      <alignment horizontal="right"/>
    </xf>
    <xf numFmtId="0" fontId="83" fillId="0" borderId="0" xfId="0" applyFont="1" applyAlignment="1">
      <alignment horizontal="left"/>
    </xf>
    <xf numFmtId="170" fontId="46" fillId="0" borderId="0" xfId="0" applyNumberFormat="1" applyFont="1" applyAlignment="1">
      <alignment horizontal="left" vertical="center"/>
    </xf>
    <xf numFmtId="172" fontId="67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vertical="top"/>
    </xf>
    <xf numFmtId="0" fontId="87" fillId="0" borderId="0" xfId="0" applyFont="1"/>
    <xf numFmtId="0" fontId="18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8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9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63" fillId="0" borderId="0" xfId="0" applyFont="1"/>
    <xf numFmtId="0" fontId="19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4" fillId="0" borderId="0" xfId="0" applyFont="1"/>
    <xf numFmtId="0" fontId="94" fillId="0" borderId="0" xfId="0" applyFont="1" applyAlignment="1">
      <alignment horizontal="right"/>
    </xf>
    <xf numFmtId="0" fontId="64" fillId="0" borderId="0" xfId="0" applyFont="1" applyAlignment="1">
      <alignment horizontal="center" vertical="center" wrapText="1"/>
    </xf>
    <xf numFmtId="0" fontId="77" fillId="0" borderId="0" xfId="0" applyFont="1"/>
    <xf numFmtId="0" fontId="77" fillId="0" borderId="0" xfId="0" applyFont="1" applyAlignment="1">
      <alignment horizontal="center"/>
    </xf>
    <xf numFmtId="14" fontId="39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left"/>
    </xf>
    <xf numFmtId="1" fontId="6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7" fillId="0" borderId="0" xfId="0" applyFont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68" fontId="49" fillId="0" borderId="0" xfId="0" applyNumberFormat="1" applyFont="1" applyAlignment="1">
      <alignment vertical="center" wrapText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vertical="center" wrapText="1"/>
    </xf>
    <xf numFmtId="0" fontId="70" fillId="0" borderId="0" xfId="0" applyFont="1" applyAlignment="1">
      <alignment horizontal="center" vertical="center"/>
    </xf>
    <xf numFmtId="0" fontId="84" fillId="0" borderId="0" xfId="0" applyFont="1" applyAlignment="1">
      <alignment horizontal="center" wrapText="1"/>
    </xf>
    <xf numFmtId="164" fontId="95" fillId="0" borderId="0" xfId="0" applyNumberFormat="1" applyFont="1" applyAlignment="1" applyProtection="1">
      <alignment horizontal="center" vertical="center" wrapText="1"/>
      <protection locked="0"/>
    </xf>
    <xf numFmtId="172" fontId="49" fillId="0" borderId="0" xfId="0" applyNumberFormat="1" applyFont="1" applyAlignment="1">
      <alignment horizontal="center" vertical="center"/>
    </xf>
    <xf numFmtId="171" fontId="49" fillId="0" borderId="0" xfId="3" applyNumberFormat="1" applyFont="1" applyFill="1" applyBorder="1" applyAlignment="1" applyProtection="1">
      <alignment horizontal="left" vertical="center"/>
    </xf>
    <xf numFmtId="0" fontId="86" fillId="0" borderId="0" xfId="0" applyFont="1" applyAlignment="1">
      <alignment horizontal="center" vertical="center"/>
    </xf>
    <xf numFmtId="172" fontId="86" fillId="0" borderId="0" xfId="0" applyNumberFormat="1" applyFont="1" applyAlignment="1">
      <alignment horizontal="center" vertical="center"/>
    </xf>
    <xf numFmtId="168" fontId="86" fillId="0" borderId="0" xfId="0" applyNumberFormat="1" applyFont="1" applyAlignment="1">
      <alignment vertical="center" wrapText="1"/>
    </xf>
    <xf numFmtId="168" fontId="80" fillId="0" borderId="0" xfId="0" applyNumberFormat="1" applyFont="1" applyAlignment="1">
      <alignment horizontal="left"/>
    </xf>
    <xf numFmtId="0" fontId="83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 vertical="center" wrapText="1"/>
    </xf>
    <xf numFmtId="0" fontId="83" fillId="0" borderId="0" xfId="0" applyFont="1"/>
    <xf numFmtId="0" fontId="75" fillId="0" borderId="0" xfId="0" applyFont="1" applyAlignment="1">
      <alignment vertical="center"/>
    </xf>
    <xf numFmtId="0" fontId="91" fillId="0" borderId="0" xfId="0" applyFont="1" applyAlignment="1">
      <alignment horizontal="center" vertical="center" wrapText="1"/>
    </xf>
    <xf numFmtId="0" fontId="95" fillId="0" borderId="0" xfId="0" applyFont="1" applyAlignment="1" applyProtection="1">
      <alignment vertical="center"/>
      <protection locked="0"/>
    </xf>
    <xf numFmtId="172" fontId="42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 vertical="center"/>
    </xf>
    <xf numFmtId="1" fontId="103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49" fontId="42" fillId="0" borderId="0" xfId="0" applyNumberFormat="1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top"/>
    </xf>
    <xf numFmtId="0" fontId="49" fillId="0" borderId="0" xfId="0" applyFont="1" applyAlignment="1">
      <alignment horizontal="left" vertical="center"/>
    </xf>
    <xf numFmtId="0" fontId="80" fillId="0" borderId="0" xfId="0" applyFont="1" applyAlignment="1">
      <alignment horizontal="left" vertical="center"/>
    </xf>
    <xf numFmtId="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49" fillId="0" borderId="0" xfId="0" applyFont="1"/>
    <xf numFmtId="0" fontId="102" fillId="0" borderId="0" xfId="0" applyFont="1" applyAlignment="1">
      <alignment horizontal="left" vertical="center"/>
    </xf>
    <xf numFmtId="0" fontId="114" fillId="0" borderId="0" xfId="0" applyFont="1" applyAlignment="1">
      <alignment vertical="center"/>
    </xf>
    <xf numFmtId="0" fontId="112" fillId="0" borderId="0" xfId="0" applyFont="1" applyAlignment="1">
      <alignment horizontal="left" vertical="center"/>
    </xf>
    <xf numFmtId="0" fontId="115" fillId="0" borderId="0" xfId="0" applyFont="1"/>
    <xf numFmtId="0" fontId="116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174" fontId="68" fillId="0" borderId="0" xfId="0" applyNumberFormat="1" applyFont="1" applyAlignment="1" applyProtection="1">
      <alignment horizontal="left" vertical="center"/>
      <protection locked="0"/>
    </xf>
    <xf numFmtId="0" fontId="109" fillId="0" borderId="0" xfId="0" applyFont="1" applyAlignment="1">
      <alignment vertical="center"/>
    </xf>
    <xf numFmtId="0" fontId="48" fillId="0" borderId="0" xfId="0" applyFont="1" applyAlignment="1">
      <alignment horizontal="right" vertical="center"/>
    </xf>
    <xf numFmtId="0" fontId="102" fillId="0" borderId="0" xfId="0" applyFont="1"/>
    <xf numFmtId="0" fontId="74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104" fillId="0" borderId="0" xfId="0" applyFont="1" applyAlignment="1">
      <alignment vertical="top"/>
    </xf>
    <xf numFmtId="0" fontId="58" fillId="0" borderId="0" xfId="0" applyFont="1" applyAlignment="1">
      <alignment vertical="top"/>
    </xf>
    <xf numFmtId="0" fontId="42" fillId="0" borderId="26" xfId="0" applyFont="1" applyBorder="1" applyAlignment="1">
      <alignment horizontal="left"/>
    </xf>
    <xf numFmtId="0" fontId="42" fillId="0" borderId="26" xfId="0" applyFont="1" applyBorder="1" applyAlignment="1">
      <alignment horizontal="left" vertical="center"/>
    </xf>
    <xf numFmtId="14" fontId="0" fillId="0" borderId="0" xfId="0" applyNumberFormat="1"/>
    <xf numFmtId="0" fontId="49" fillId="0" borderId="25" xfId="0" applyFont="1" applyBorder="1" applyAlignment="1">
      <alignment horizontal="center" vertical="center"/>
    </xf>
    <xf numFmtId="0" fontId="42" fillId="0" borderId="25" xfId="0" applyFont="1" applyBorder="1"/>
    <xf numFmtId="168" fontId="49" fillId="0" borderId="25" xfId="0" applyNumberFormat="1" applyFont="1" applyBorder="1" applyAlignment="1">
      <alignment vertical="center" wrapText="1"/>
    </xf>
    <xf numFmtId="171" fontId="0" fillId="0" borderId="0" xfId="0" applyNumberFormat="1"/>
    <xf numFmtId="0" fontId="49" fillId="0" borderId="40" xfId="0" applyFont="1" applyBorder="1" applyAlignment="1">
      <alignment horizontal="center" vertical="center"/>
    </xf>
    <xf numFmtId="49" fontId="39" fillId="0" borderId="40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125" fillId="7" borderId="40" xfId="0" applyFont="1" applyFill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49" fontId="39" fillId="0" borderId="40" xfId="0" applyNumberFormat="1" applyFont="1" applyBorder="1" applyAlignment="1">
      <alignment horizontal="left" vertical="center"/>
    </xf>
    <xf numFmtId="0" fontId="4" fillId="0" borderId="40" xfId="1" applyFill="1" applyBorder="1" applyAlignment="1">
      <alignment horizontal="left" vertical="center"/>
    </xf>
    <xf numFmtId="49" fontId="39" fillId="0" borderId="40" xfId="0" applyNumberFormat="1" applyFont="1" applyBorder="1" applyAlignment="1">
      <alignment horizontal="left" vertical="center" wrapText="1"/>
    </xf>
    <xf numFmtId="0" fontId="124" fillId="4" borderId="40" xfId="0" applyFont="1" applyFill="1" applyBorder="1" applyAlignment="1">
      <alignment horizontal="center" vertical="center"/>
    </xf>
    <xf numFmtId="0" fontId="128" fillId="4" borderId="40" xfId="0" applyFont="1" applyFill="1" applyBorder="1" applyAlignment="1">
      <alignment horizontal="left" vertical="center"/>
    </xf>
    <xf numFmtId="0" fontId="124" fillId="4" borderId="40" xfId="0" applyFont="1" applyFill="1" applyBorder="1" applyAlignment="1">
      <alignment horizontal="left" vertical="center"/>
    </xf>
    <xf numFmtId="49" fontId="124" fillId="4" borderId="40" xfId="0" applyNumberFormat="1" applyFont="1" applyFill="1" applyBorder="1" applyAlignment="1">
      <alignment horizontal="left" vertical="center"/>
    </xf>
    <xf numFmtId="0" fontId="129" fillId="4" borderId="0" xfId="0" applyFont="1" applyFill="1" applyAlignment="1">
      <alignment horizontal="left" vertical="center"/>
    </xf>
    <xf numFmtId="0" fontId="124" fillId="4" borderId="0" xfId="0" applyFont="1" applyFill="1" applyAlignment="1">
      <alignment horizontal="left" vertical="center"/>
    </xf>
    <xf numFmtId="0" fontId="130" fillId="7" borderId="44" xfId="0" applyFont="1" applyFill="1" applyBorder="1" applyAlignment="1">
      <alignment horizontal="center" vertical="center"/>
    </xf>
    <xf numFmtId="0" fontId="48" fillId="0" borderId="49" xfId="0" applyFont="1" applyBorder="1" applyAlignment="1">
      <alignment horizontal="left"/>
    </xf>
    <xf numFmtId="0" fontId="48" fillId="0" borderId="51" xfId="0" applyFont="1" applyBorder="1" applyAlignment="1">
      <alignment horizontal="left"/>
    </xf>
    <xf numFmtId="0" fontId="102" fillId="0" borderId="51" xfId="0" applyFont="1" applyBorder="1" applyAlignment="1">
      <alignment horizontal="left" vertical="center"/>
    </xf>
    <xf numFmtId="0" fontId="132" fillId="7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0" fillId="7" borderId="44" xfId="0" applyFont="1" applyFill="1" applyBorder="1" applyAlignment="1">
      <alignment horizontal="center" vertical="top"/>
    </xf>
    <xf numFmtId="0" fontId="136" fillId="7" borderId="43" xfId="0" applyFont="1" applyFill="1" applyBorder="1" applyAlignment="1">
      <alignment horizontal="center" vertical="center"/>
    </xf>
    <xf numFmtId="49" fontId="136" fillId="7" borderId="43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right"/>
    </xf>
    <xf numFmtId="0" fontId="138" fillId="0" borderId="0" xfId="0" applyFont="1" applyAlignment="1">
      <alignment horizontal="center" vertical="center"/>
    </xf>
    <xf numFmtId="0" fontId="19" fillId="0" borderId="41" xfId="0" applyFont="1" applyBorder="1"/>
    <xf numFmtId="0" fontId="19" fillId="0" borderId="47" xfId="0" applyFont="1" applyBorder="1"/>
    <xf numFmtId="0" fontId="19" fillId="0" borderId="47" xfId="0" applyFont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0" fillId="0" borderId="48" xfId="0" applyBorder="1"/>
    <xf numFmtId="0" fontId="94" fillId="0" borderId="47" xfId="0" applyFont="1" applyBorder="1" applyAlignment="1">
      <alignment horizontal="right"/>
    </xf>
    <xf numFmtId="0" fontId="0" fillId="0" borderId="48" xfId="0" applyBorder="1" applyAlignment="1">
      <alignment vertical="center"/>
    </xf>
    <xf numFmtId="0" fontId="39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7" fillId="0" borderId="48" xfId="0" applyFont="1" applyBorder="1" applyAlignment="1">
      <alignment vertical="top" wrapText="1"/>
    </xf>
    <xf numFmtId="0" fontId="19" fillId="0" borderId="42" xfId="0" applyFont="1" applyBorder="1" applyAlignment="1">
      <alignment wrapText="1"/>
    </xf>
    <xf numFmtId="0" fontId="0" fillId="0" borderId="49" xfId="0" applyBorder="1" applyAlignment="1">
      <alignment horizontal="left" wrapText="1"/>
    </xf>
    <xf numFmtId="0" fontId="0" fillId="0" borderId="49" xfId="0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96" fillId="0" borderId="0" xfId="0" applyFont="1"/>
    <xf numFmtId="1" fontId="48" fillId="0" borderId="0" xfId="0" applyNumberFormat="1" applyFont="1"/>
    <xf numFmtId="0" fontId="48" fillId="0" borderId="0" xfId="0" applyFont="1"/>
    <xf numFmtId="0" fontId="48" fillId="0" borderId="0" xfId="0" applyFont="1" applyAlignment="1">
      <alignment horizontal="center"/>
    </xf>
    <xf numFmtId="1" fontId="49" fillId="0" borderId="40" xfId="0" applyNumberFormat="1" applyFont="1" applyBorder="1" applyAlignment="1">
      <alignment horizontal="center" vertical="center"/>
    </xf>
    <xf numFmtId="49" fontId="38" fillId="0" borderId="40" xfId="0" applyNumberFormat="1" applyFont="1" applyBorder="1" applyAlignment="1">
      <alignment horizontal="left" vertic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14" fontId="100" fillId="0" borderId="0" xfId="0" applyNumberFormat="1" applyFont="1" applyAlignment="1" applyProtection="1">
      <alignment horizontal="left" vertical="center"/>
      <protection locked="0"/>
    </xf>
    <xf numFmtId="0" fontId="42" fillId="0" borderId="49" xfId="0" applyFont="1" applyBorder="1" applyAlignment="1">
      <alignment horizontal="left"/>
    </xf>
    <xf numFmtId="0" fontId="106" fillId="0" borderId="40" xfId="0" applyFont="1" applyBorder="1" applyAlignment="1">
      <alignment horizontal="center" vertical="center"/>
    </xf>
    <xf numFmtId="0" fontId="106" fillId="7" borderId="52" xfId="0" applyFont="1" applyFill="1" applyBorder="1" applyAlignment="1">
      <alignment horizontal="center" vertical="center"/>
    </xf>
    <xf numFmtId="0" fontId="136" fillId="0" borderId="47" xfId="0" applyFont="1" applyBorder="1"/>
    <xf numFmtId="0" fontId="136" fillId="0" borderId="48" xfId="0" applyFont="1" applyBorder="1"/>
    <xf numFmtId="0" fontId="152" fillId="0" borderId="53" xfId="0" applyFont="1" applyBorder="1" applyAlignment="1">
      <alignment horizontal="left"/>
    </xf>
    <xf numFmtId="168" fontId="153" fillId="0" borderId="54" xfId="0" applyNumberFormat="1" applyFont="1" applyBorder="1" applyAlignment="1">
      <alignment horizontal="left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48" fillId="0" borderId="0" xfId="0" applyFont="1" applyAlignment="1">
      <alignment vertical="center"/>
    </xf>
    <xf numFmtId="14" fontId="49" fillId="0" borderId="0" xfId="0" applyNumberFormat="1" applyFont="1" applyAlignment="1">
      <alignment vertical="center"/>
    </xf>
    <xf numFmtId="172" fontId="98" fillId="0" borderId="0" xfId="0" applyNumberFormat="1" applyFont="1"/>
    <xf numFmtId="0" fontId="39" fillId="0" borderId="47" xfId="0" applyFont="1" applyBorder="1" applyAlignment="1">
      <alignment horizontal="right"/>
    </xf>
    <xf numFmtId="0" fontId="93" fillId="0" borderId="0" xfId="0" applyFont="1" applyAlignment="1">
      <alignment vertical="center"/>
    </xf>
    <xf numFmtId="0" fontId="44" fillId="0" borderId="47" xfId="0" applyFont="1" applyBorder="1" applyAlignment="1">
      <alignment vertical="center" wrapText="1"/>
    </xf>
    <xf numFmtId="0" fontId="124" fillId="0" borderId="0" xfId="0" applyFont="1" applyAlignment="1">
      <alignment horizontal="center" vertical="center"/>
    </xf>
    <xf numFmtId="0" fontId="64" fillId="0" borderId="0" xfId="0" applyFont="1" applyAlignment="1">
      <alignment horizontal="right" vertical="center"/>
    </xf>
    <xf numFmtId="0" fontId="3" fillId="0" borderId="47" xfId="0" applyFont="1" applyBorder="1" applyAlignment="1">
      <alignment vertical="top"/>
    </xf>
    <xf numFmtId="0" fontId="131" fillId="0" borderId="0" xfId="0" applyFont="1" applyAlignment="1">
      <alignment horizontal="left"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0" fontId="42" fillId="5" borderId="40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top" wrapText="1"/>
    </xf>
    <xf numFmtId="0" fontId="0" fillId="0" borderId="49" xfId="0" applyBorder="1" applyAlignment="1">
      <alignment horizontal="right" vertical="top" wrapText="1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7" fillId="0" borderId="66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0" fontId="84" fillId="0" borderId="67" xfId="0" applyFont="1" applyBorder="1" applyAlignment="1">
      <alignment horizontal="center"/>
    </xf>
    <xf numFmtId="14" fontId="95" fillId="0" borderId="66" xfId="0" applyNumberFormat="1" applyFont="1" applyBorder="1" applyAlignment="1" applyProtection="1">
      <alignment horizontal="center" vertical="center"/>
      <protection locked="0"/>
    </xf>
    <xf numFmtId="14" fontId="95" fillId="0" borderId="67" xfId="0" applyNumberFormat="1" applyFont="1" applyBorder="1" applyAlignment="1" applyProtection="1">
      <alignment horizontal="center" vertical="center"/>
      <protection locked="0"/>
    </xf>
    <xf numFmtId="172" fontId="49" fillId="0" borderId="66" xfId="0" applyNumberFormat="1" applyFont="1" applyBorder="1" applyAlignment="1">
      <alignment horizontal="center" vertical="center"/>
    </xf>
    <xf numFmtId="172" fontId="49" fillId="0" borderId="67" xfId="0" applyNumberFormat="1" applyFont="1" applyBorder="1" applyAlignment="1">
      <alignment horizontal="center" vertical="center"/>
    </xf>
    <xf numFmtId="172" fontId="49" fillId="0" borderId="62" xfId="0" applyNumberFormat="1" applyFont="1" applyBorder="1" applyAlignment="1">
      <alignment horizontal="center" vertical="center"/>
    </xf>
    <xf numFmtId="172" fontId="49" fillId="0" borderId="65" xfId="0" applyNumberFormat="1" applyFont="1" applyBorder="1" applyAlignment="1">
      <alignment horizontal="center" vertical="center"/>
    </xf>
    <xf numFmtId="0" fontId="148" fillId="7" borderId="68" xfId="0" applyFont="1" applyFill="1" applyBorder="1" applyAlignment="1">
      <alignment horizontal="center" vertical="center"/>
    </xf>
    <xf numFmtId="0" fontId="149" fillId="7" borderId="69" xfId="0" applyFont="1" applyFill="1" applyBorder="1" applyAlignment="1">
      <alignment horizontal="center" vertical="top"/>
    </xf>
    <xf numFmtId="169" fontId="0" fillId="0" borderId="70" xfId="0" applyNumberFormat="1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1" fontId="7" fillId="0" borderId="70" xfId="0" applyNumberFormat="1" applyFont="1" applyBorder="1" applyAlignment="1">
      <alignment horizontal="center" vertical="center"/>
    </xf>
    <xf numFmtId="0" fontId="95" fillId="0" borderId="70" xfId="0" applyFont="1" applyBorder="1" applyAlignment="1" applyProtection="1">
      <alignment vertical="center"/>
      <protection locked="0"/>
    </xf>
    <xf numFmtId="168" fontId="49" fillId="0" borderId="70" xfId="0" applyNumberFormat="1" applyFont="1" applyBorder="1" applyAlignment="1">
      <alignment vertical="center" wrapText="1"/>
    </xf>
    <xf numFmtId="168" fontId="49" fillId="0" borderId="69" xfId="0" applyNumberFormat="1" applyFont="1" applyBorder="1" applyAlignment="1">
      <alignment vertical="center" wrapText="1"/>
    </xf>
    <xf numFmtId="0" fontId="156" fillId="0" borderId="0" xfId="0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0" fontId="0" fillId="7" borderId="0" xfId="0" applyFill="1"/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49" fontId="160" fillId="7" borderId="33" xfId="0" applyNumberFormat="1" applyFont="1" applyFill="1" applyBorder="1" applyAlignment="1">
      <alignment horizontal="center"/>
    </xf>
    <xf numFmtId="49" fontId="39" fillId="0" borderId="33" xfId="0" applyNumberFormat="1" applyFont="1" applyBorder="1" applyAlignment="1">
      <alignment horizontal="center" vertical="center"/>
    </xf>
    <xf numFmtId="0" fontId="39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left" vertical="center"/>
    </xf>
    <xf numFmtId="0" fontId="39" fillId="0" borderId="33" xfId="0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 wrapText="1"/>
    </xf>
    <xf numFmtId="0" fontId="161" fillId="7" borderId="33" xfId="0" applyFont="1" applyFill="1" applyBorder="1" applyAlignment="1">
      <alignment horizontal="center" vertical="top"/>
    </xf>
    <xf numFmtId="0" fontId="129" fillId="7" borderId="71" xfId="0" applyFont="1" applyFill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124" fillId="7" borderId="72" xfId="0" applyFont="1" applyFill="1" applyBorder="1" applyAlignment="1">
      <alignment horizontal="center" vertical="top"/>
    </xf>
    <xf numFmtId="0" fontId="102" fillId="0" borderId="33" xfId="0" applyFont="1" applyBorder="1" applyAlignment="1">
      <alignment horizontal="left" vertical="center"/>
    </xf>
    <xf numFmtId="0" fontId="9" fillId="0" borderId="33" xfId="0" applyFont="1" applyBorder="1" applyAlignment="1">
      <alignment horizontal="left" vertical="center"/>
    </xf>
    <xf numFmtId="172" fontId="164" fillId="0" borderId="49" xfId="0" applyNumberFormat="1" applyFont="1" applyBorder="1" applyAlignment="1">
      <alignment horizontal="left" vertical="center" wrapText="1"/>
    </xf>
    <xf numFmtId="0" fontId="7" fillId="0" borderId="59" xfId="0" applyFont="1" applyBorder="1"/>
    <xf numFmtId="0" fontId="0" fillId="0" borderId="56" xfId="0" applyBorder="1"/>
    <xf numFmtId="175" fontId="171" fillId="0" borderId="0" xfId="0" applyNumberFormat="1" applyFont="1" applyAlignment="1">
      <alignment horizontal="center" vertical="center"/>
    </xf>
    <xf numFmtId="14" fontId="154" fillId="7" borderId="40" xfId="0" applyNumberFormat="1" applyFont="1" applyFill="1" applyBorder="1" applyAlignment="1">
      <alignment horizontal="center" vertical="center" wrapText="1"/>
    </xf>
    <xf numFmtId="0" fontId="147" fillId="0" borderId="0" xfId="0" applyFont="1" applyAlignment="1">
      <alignment horizontal="left" vertical="center"/>
    </xf>
    <xf numFmtId="0" fontId="102" fillId="0" borderId="0" xfId="0" applyFont="1" applyAlignment="1">
      <alignment horizontal="right" vertical="center"/>
    </xf>
    <xf numFmtId="175" fontId="9" fillId="0" borderId="0" xfId="0" applyNumberFormat="1" applyFont="1" applyAlignment="1">
      <alignment horizontal="left" vertical="center"/>
    </xf>
    <xf numFmtId="49" fontId="103" fillId="0" borderId="0" xfId="0" applyNumberFormat="1" applyFont="1" applyAlignment="1">
      <alignment horizontal="center" vertical="center"/>
    </xf>
    <xf numFmtId="49" fontId="49" fillId="0" borderId="0" xfId="0" applyNumberFormat="1" applyFont="1" applyAlignment="1">
      <alignment horizontal="center" vertical="center"/>
    </xf>
    <xf numFmtId="0" fontId="19" fillId="0" borderId="34" xfId="0" applyFont="1" applyBorder="1"/>
    <xf numFmtId="0" fontId="19" fillId="0" borderId="59" xfId="0" applyFont="1" applyBorder="1"/>
    <xf numFmtId="0" fontId="19" fillId="0" borderId="37" xfId="0" applyFont="1" applyBorder="1"/>
    <xf numFmtId="0" fontId="44" fillId="0" borderId="0" xfId="0" applyFont="1"/>
    <xf numFmtId="14" fontId="0" fillId="0" borderId="0" xfId="0" applyNumberFormat="1" applyAlignment="1">
      <alignment horizontal="left"/>
    </xf>
    <xf numFmtId="0" fontId="124" fillId="7" borderId="44" xfId="0" applyFont="1" applyFill="1" applyBorder="1" applyAlignment="1">
      <alignment horizontal="center" vertical="center"/>
    </xf>
    <xf numFmtId="49" fontId="124" fillId="7" borderId="44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36" fillId="7" borderId="43" xfId="0" applyNumberFormat="1" applyFont="1" applyFill="1" applyBorder="1" applyAlignment="1">
      <alignment horizontal="center" vertical="center"/>
    </xf>
    <xf numFmtId="14" fontId="124" fillId="7" borderId="44" xfId="0" applyNumberFormat="1" applyFont="1" applyFill="1" applyBorder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49" fontId="130" fillId="7" borderId="44" xfId="0" applyNumberFormat="1" applyFont="1" applyFill="1" applyBorder="1" applyAlignment="1">
      <alignment horizontal="center" vertical="center"/>
    </xf>
    <xf numFmtId="14" fontId="39" fillId="0" borderId="0" xfId="0" applyNumberFormat="1" applyFont="1"/>
    <xf numFmtId="0" fontId="128" fillId="7" borderId="43" xfId="0" applyFont="1" applyFill="1" applyBorder="1" applyAlignment="1">
      <alignment horizontal="center"/>
    </xf>
    <xf numFmtId="49" fontId="39" fillId="0" borderId="0" xfId="0" applyNumberFormat="1" applyFont="1"/>
    <xf numFmtId="176" fontId="39" fillId="0" borderId="0" xfId="0" applyNumberFormat="1" applyFont="1" applyAlignment="1">
      <alignment horizontal="center" vertical="center"/>
    </xf>
    <xf numFmtId="14" fontId="130" fillId="7" borderId="44" xfId="0" applyNumberFormat="1" applyFont="1" applyFill="1" applyBorder="1" applyAlignment="1">
      <alignment horizontal="center" vertical="center"/>
    </xf>
    <xf numFmtId="49" fontId="175" fillId="0" borderId="0" xfId="0" applyNumberFormat="1" applyFont="1" applyAlignment="1">
      <alignment vertical="center"/>
    </xf>
    <xf numFmtId="0" fontId="39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0" fontId="179" fillId="0" borderId="0" xfId="0" applyFont="1" applyAlignment="1">
      <alignment horizontal="center" vertical="center"/>
    </xf>
    <xf numFmtId="0" fontId="180" fillId="0" borderId="0" xfId="0" applyFont="1"/>
    <xf numFmtId="0" fontId="67" fillId="0" borderId="0" xfId="0" applyFont="1" applyAlignment="1">
      <alignment horizontal="left" vertical="center"/>
    </xf>
    <xf numFmtId="14" fontId="44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left" vertical="center"/>
    </xf>
    <xf numFmtId="0" fontId="90" fillId="0" borderId="0" xfId="0" applyFont="1"/>
    <xf numFmtId="0" fontId="43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2" fillId="0" borderId="40" xfId="0" applyFont="1" applyBorder="1"/>
    <xf numFmtId="172" fontId="0" fillId="0" borderId="4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3" fillId="0" borderId="40" xfId="0" applyFont="1" applyBorder="1"/>
    <xf numFmtId="49" fontId="53" fillId="0" borderId="40" xfId="0" applyNumberFormat="1" applyFont="1" applyBorder="1"/>
    <xf numFmtId="14" fontId="52" fillId="0" borderId="40" xfId="0" applyNumberFormat="1" applyFont="1" applyBorder="1" applyAlignment="1">
      <alignment horizontal="center" vertical="center"/>
    </xf>
    <xf numFmtId="1" fontId="42" fillId="0" borderId="40" xfId="0" applyNumberFormat="1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136" fillId="7" borderId="43" xfId="0" applyFont="1" applyFill="1" applyBorder="1" applyAlignment="1">
      <alignment horizontal="center"/>
    </xf>
    <xf numFmtId="0" fontId="55" fillId="0" borderId="0" xfId="0" applyFont="1"/>
    <xf numFmtId="0" fontId="128" fillId="7" borderId="46" xfId="0" applyFont="1" applyFill="1" applyBorder="1" applyAlignment="1">
      <alignment horizontal="center" vertical="center"/>
    </xf>
    <xf numFmtId="0" fontId="130" fillId="7" borderId="50" xfId="0" applyFont="1" applyFill="1" applyBorder="1" applyAlignment="1">
      <alignment horizontal="center" vertical="center"/>
    </xf>
    <xf numFmtId="0" fontId="128" fillId="7" borderId="43" xfId="0" applyFont="1" applyFill="1" applyBorder="1" applyAlignment="1">
      <alignment horizontal="center" vertical="center"/>
    </xf>
    <xf numFmtId="49" fontId="53" fillId="0" borderId="40" xfId="0" applyNumberFormat="1" applyFont="1" applyBorder="1" applyAlignment="1">
      <alignment horizontal="left" vertical="center"/>
    </xf>
    <xf numFmtId="0" fontId="136" fillId="7" borderId="43" xfId="0" applyFont="1" applyFill="1" applyBorder="1" applyAlignment="1">
      <alignment horizontal="center" vertical="center" wrapText="1"/>
    </xf>
    <xf numFmtId="0" fontId="130" fillId="7" borderId="44" xfId="0" applyFont="1" applyFill="1" applyBorder="1" applyAlignment="1">
      <alignment horizontal="center" vertical="top" wrapText="1"/>
    </xf>
    <xf numFmtId="0" fontId="136" fillId="0" borderId="0" xfId="0" applyFont="1" applyAlignment="1">
      <alignment horizontal="center" vertical="center"/>
    </xf>
    <xf numFmtId="49" fontId="136" fillId="0" borderId="0" xfId="0" applyNumberFormat="1" applyFont="1" applyAlignment="1">
      <alignment horizontal="center" vertical="center"/>
    </xf>
    <xf numFmtId="0" fontId="130" fillId="0" borderId="0" xfId="0" applyFont="1" applyAlignment="1">
      <alignment horizontal="center" vertical="top"/>
    </xf>
    <xf numFmtId="49" fontId="130" fillId="0" borderId="0" xfId="0" applyNumberFormat="1" applyFont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40" xfId="0" applyFont="1" applyBorder="1" applyAlignment="1">
      <alignment horizontal="left" vertical="center" wrapText="1"/>
    </xf>
    <xf numFmtId="0" fontId="39" fillId="0" borderId="40" xfId="0" applyFont="1" applyBorder="1"/>
    <xf numFmtId="0" fontId="49" fillId="7" borderId="44" xfId="0" applyFont="1" applyFill="1" applyBorder="1" applyAlignment="1">
      <alignment horizontal="center" vertical="top"/>
    </xf>
    <xf numFmtId="0" fontId="124" fillId="7" borderId="0" xfId="0" applyFont="1" applyFill="1" applyAlignment="1">
      <alignment horizontal="center" vertical="center"/>
    </xf>
    <xf numFmtId="0" fontId="136" fillId="7" borderId="0" xfId="0" applyFont="1" applyFill="1" applyAlignment="1">
      <alignment horizontal="center" vertical="center"/>
    </xf>
    <xf numFmtId="49" fontId="136" fillId="7" borderId="0" xfId="0" applyNumberFormat="1" applyFont="1" applyFill="1" applyAlignment="1">
      <alignment horizontal="center" vertical="center"/>
    </xf>
    <xf numFmtId="49" fontId="124" fillId="7" borderId="0" xfId="0" applyNumberFormat="1" applyFont="1" applyFill="1" applyAlignment="1">
      <alignment horizontal="center" vertical="center"/>
    </xf>
    <xf numFmtId="0" fontId="124" fillId="7" borderId="44" xfId="0" applyFont="1" applyFill="1" applyBorder="1" applyAlignment="1">
      <alignment horizontal="center" vertical="center" wrapText="1"/>
    </xf>
    <xf numFmtId="0" fontId="136" fillId="7" borderId="41" xfId="0" applyFont="1" applyFill="1" applyBorder="1" applyAlignment="1">
      <alignment horizontal="center"/>
    </xf>
    <xf numFmtId="0" fontId="136" fillId="7" borderId="51" xfId="0" applyFont="1" applyFill="1" applyBorder="1" applyAlignment="1">
      <alignment wrapText="1"/>
    </xf>
    <xf numFmtId="0" fontId="136" fillId="7" borderId="52" xfId="0" applyFont="1" applyFill="1" applyBorder="1" applyAlignment="1">
      <alignment wrapText="1"/>
    </xf>
    <xf numFmtId="0" fontId="136" fillId="7" borderId="46" xfId="0" applyFont="1" applyFill="1" applyBorder="1" applyAlignment="1">
      <alignment horizontal="center"/>
    </xf>
    <xf numFmtId="0" fontId="10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2" fillId="0" borderId="0" xfId="0" applyFont="1" applyAlignment="1">
      <alignment wrapText="1"/>
    </xf>
    <xf numFmtId="0" fontId="39" fillId="0" borderId="0" xfId="0" applyFont="1" applyAlignment="1">
      <alignment horizontal="left"/>
    </xf>
    <xf numFmtId="49" fontId="39" fillId="0" borderId="0" xfId="0" applyNumberFormat="1" applyFont="1" applyAlignment="1">
      <alignment horizontal="left"/>
    </xf>
    <xf numFmtId="0" fontId="42" fillId="0" borderId="0" xfId="0" applyFont="1" applyAlignment="1">
      <alignment vertical="top"/>
    </xf>
    <xf numFmtId="0" fontId="124" fillId="7" borderId="79" xfId="0" applyFont="1" applyFill="1" applyBorder="1" applyAlignment="1">
      <alignment horizontal="center" vertical="top"/>
    </xf>
    <xf numFmtId="0" fontId="48" fillId="0" borderId="25" xfId="0" applyFont="1" applyBorder="1" applyAlignment="1">
      <alignment horizontal="center"/>
    </xf>
    <xf numFmtId="0" fontId="49" fillId="0" borderId="0" xfId="0" applyFont="1" applyAlignment="1">
      <alignment horizontal="center"/>
    </xf>
    <xf numFmtId="49" fontId="128" fillId="7" borderId="43" xfId="0" applyNumberFormat="1" applyFont="1" applyFill="1" applyBorder="1" applyAlignment="1">
      <alignment horizontal="center" vertical="center"/>
    </xf>
    <xf numFmtId="14" fontId="128" fillId="7" borderId="43" xfId="0" applyNumberFormat="1" applyFont="1" applyFill="1" applyBorder="1" applyAlignment="1">
      <alignment horizontal="center" vertical="center"/>
    </xf>
    <xf numFmtId="176" fontId="128" fillId="7" borderId="43" xfId="0" applyNumberFormat="1" applyFont="1" applyFill="1" applyBorder="1" applyAlignment="1">
      <alignment horizontal="center" vertical="center"/>
    </xf>
    <xf numFmtId="176" fontId="130" fillId="7" borderId="44" xfId="0" applyNumberFormat="1" applyFont="1" applyFill="1" applyBorder="1" applyAlignment="1">
      <alignment horizontal="center" vertical="center"/>
    </xf>
    <xf numFmtId="49" fontId="176" fillId="7" borderId="44" xfId="0" applyNumberFormat="1" applyFont="1" applyFill="1" applyBorder="1" applyAlignment="1">
      <alignment horizontal="center" vertical="center"/>
    </xf>
    <xf numFmtId="0" fontId="48" fillId="0" borderId="25" xfId="0" applyFont="1" applyBorder="1" applyAlignment="1">
      <alignment horizontal="left" vertical="top"/>
    </xf>
    <xf numFmtId="0" fontId="49" fillId="0" borderId="26" xfId="0" applyFont="1" applyBorder="1" applyAlignment="1">
      <alignment horizontal="left" vertical="center"/>
    </xf>
    <xf numFmtId="0" fontId="39" fillId="0" borderId="26" xfId="0" applyFont="1" applyBorder="1" applyAlignment="1">
      <alignment horizontal="center" vertical="center"/>
    </xf>
    <xf numFmtId="0" fontId="42" fillId="0" borderId="26" xfId="0" applyFont="1" applyBorder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49" fillId="0" borderId="40" xfId="0" applyFont="1" applyBorder="1"/>
    <xf numFmtId="0" fontId="48" fillId="0" borderId="40" xfId="0" applyFont="1" applyBorder="1"/>
    <xf numFmtId="0" fontId="49" fillId="0" borderId="40" xfId="0" applyFont="1" applyBorder="1" applyAlignment="1">
      <alignment horizontal="center"/>
    </xf>
    <xf numFmtId="0" fontId="117" fillId="9" borderId="75" xfId="0" applyFont="1" applyFill="1" applyBorder="1" applyAlignment="1">
      <alignment horizontal="center" vertical="top"/>
    </xf>
    <xf numFmtId="0" fontId="117" fillId="9" borderId="76" xfId="0" applyFont="1" applyFill="1" applyBorder="1" applyAlignment="1">
      <alignment horizontal="center" vertical="top"/>
    </xf>
    <xf numFmtId="0" fontId="136" fillId="7" borderId="46" xfId="0" applyFont="1" applyFill="1" applyBorder="1" applyAlignment="1">
      <alignment horizontal="center" wrapText="1"/>
    </xf>
    <xf numFmtId="0" fontId="42" fillId="0" borderId="40" xfId="0" applyFont="1" applyBorder="1" applyAlignment="1">
      <alignment horizontal="left" vertical="center" wrapText="1"/>
    </xf>
    <xf numFmtId="49" fontId="39" fillId="0" borderId="40" xfId="0" applyNumberFormat="1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/>
    </xf>
    <xf numFmtId="172" fontId="193" fillId="0" borderId="0" xfId="0" applyNumberFormat="1" applyFont="1" applyAlignment="1">
      <alignment horizontal="center" vertical="center"/>
    </xf>
    <xf numFmtId="172" fontId="194" fillId="0" borderId="0" xfId="0" applyNumberFormat="1" applyFont="1" applyAlignment="1">
      <alignment horizontal="center" vertical="center"/>
    </xf>
    <xf numFmtId="172" fontId="43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0" fontId="195" fillId="0" borderId="0" xfId="0" applyFont="1"/>
    <xf numFmtId="0" fontId="196" fillId="0" borderId="0" xfId="0" applyFont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49" fillId="0" borderId="44" xfId="0" applyFont="1" applyBorder="1" applyAlignment="1">
      <alignment horizontal="center" vertical="center"/>
    </xf>
    <xf numFmtId="0" fontId="39" fillId="0" borderId="96" xfId="0" applyFont="1" applyBorder="1" applyAlignment="1">
      <alignment horizontal="center" vertical="center"/>
    </xf>
    <xf numFmtId="0" fontId="49" fillId="0" borderId="96" xfId="0" applyFont="1" applyBorder="1" applyAlignment="1">
      <alignment horizontal="center" vertical="center"/>
    </xf>
    <xf numFmtId="14" fontId="39" fillId="0" borderId="96" xfId="0" applyNumberFormat="1" applyFont="1" applyBorder="1" applyAlignment="1">
      <alignment horizontal="center" vertical="center"/>
    </xf>
    <xf numFmtId="49" fontId="42" fillId="0" borderId="96" xfId="0" applyNumberFormat="1" applyFont="1" applyBorder="1" applyAlignment="1">
      <alignment horizontal="left"/>
    </xf>
    <xf numFmtId="0" fontId="120" fillId="0" borderId="96" xfId="0" applyFont="1" applyBorder="1" applyAlignment="1">
      <alignment horizontal="center" vertical="center"/>
    </xf>
    <xf numFmtId="49" fontId="39" fillId="0" borderId="96" xfId="0" applyNumberFormat="1" applyFont="1" applyBorder="1" applyAlignment="1">
      <alignment horizontal="center" vertical="center"/>
    </xf>
    <xf numFmtId="0" fontId="129" fillId="7" borderId="27" xfId="0" applyFont="1" applyFill="1" applyBorder="1" applyAlignment="1">
      <alignment horizontal="center"/>
    </xf>
    <xf numFmtId="0" fontId="130" fillId="7" borderId="28" xfId="0" applyFont="1" applyFill="1" applyBorder="1" applyAlignment="1">
      <alignment horizontal="center" vertical="center"/>
    </xf>
    <xf numFmtId="0" fontId="48" fillId="0" borderId="29" xfId="0" applyFont="1" applyBorder="1" applyAlignment="1">
      <alignment horizontal="left"/>
    </xf>
    <xf numFmtId="0" fontId="48" fillId="0" borderId="0" xfId="0" applyFont="1" applyAlignment="1">
      <alignment horizontal="left" vertical="top"/>
    </xf>
    <xf numFmtId="0" fontId="49" fillId="0" borderId="44" xfId="0" applyFont="1" applyBorder="1" applyAlignment="1">
      <alignment horizontal="center"/>
    </xf>
    <xf numFmtId="0" fontId="49" fillId="0" borderId="44" xfId="0" applyFont="1" applyBorder="1"/>
    <xf numFmtId="0" fontId="48" fillId="0" borderId="44" xfId="0" applyFont="1" applyBorder="1"/>
    <xf numFmtId="0" fontId="49" fillId="0" borderId="96" xfId="0" applyFont="1" applyBorder="1"/>
    <xf numFmtId="0" fontId="48" fillId="0" borderId="96" xfId="0" applyFont="1" applyBorder="1"/>
    <xf numFmtId="0" fontId="48" fillId="0" borderId="96" xfId="0" applyFont="1" applyBorder="1" applyAlignment="1">
      <alignment horizontal="center"/>
    </xf>
    <xf numFmtId="0" fontId="49" fillId="0" borderId="96" xfId="0" applyFont="1" applyBorder="1" applyAlignment="1">
      <alignment horizontal="center"/>
    </xf>
    <xf numFmtId="0" fontId="49" fillId="0" borderId="43" xfId="0" applyFont="1" applyBorder="1"/>
    <xf numFmtId="0" fontId="128" fillId="7" borderId="27" xfId="0" applyFont="1" applyFill="1" applyBorder="1" applyAlignment="1">
      <alignment horizontal="center"/>
    </xf>
    <xf numFmtId="0" fontId="124" fillId="7" borderId="28" xfId="0" applyFont="1" applyFill="1" applyBorder="1" applyAlignment="1">
      <alignment horizontal="center" vertical="top"/>
    </xf>
    <xf numFmtId="0" fontId="49" fillId="0" borderId="96" xfId="0" applyFont="1" applyBorder="1" applyAlignment="1">
      <alignment horizontal="left" vertical="center"/>
    </xf>
    <xf numFmtId="0" fontId="48" fillId="0" borderId="96" xfId="0" applyFont="1" applyBorder="1" applyAlignment="1">
      <alignment horizontal="left" vertical="center"/>
    </xf>
    <xf numFmtId="0" fontId="146" fillId="7" borderId="27" xfId="0" applyFont="1" applyFill="1" applyBorder="1" applyAlignment="1">
      <alignment horizontal="center"/>
    </xf>
    <xf numFmtId="0" fontId="119" fillId="7" borderId="28" xfId="0" applyFont="1" applyFill="1" applyBorder="1" applyAlignment="1">
      <alignment horizontal="center" vertical="top"/>
    </xf>
    <xf numFmtId="0" fontId="128" fillId="0" borderId="27" xfId="0" applyFont="1" applyBorder="1" applyAlignment="1">
      <alignment horizontal="center"/>
    </xf>
    <xf numFmtId="0" fontId="49" fillId="4" borderId="0" xfId="0" applyFont="1" applyFill="1" applyAlignment="1">
      <alignment horizontal="center" vertical="center"/>
    </xf>
    <xf numFmtId="0" fontId="0" fillId="0" borderId="92" xfId="0" applyBorder="1"/>
    <xf numFmtId="0" fontId="39" fillId="0" borderId="92" xfId="0" applyFont="1" applyBorder="1" applyAlignment="1">
      <alignment horizontal="center" vertical="center"/>
    </xf>
    <xf numFmtId="0" fontId="0" fillId="0" borderId="92" xfId="0" applyBorder="1" applyAlignment="1">
      <alignment horizontal="center" vertical="center" wrapText="1"/>
    </xf>
    <xf numFmtId="0" fontId="1" fillId="0" borderId="0" xfId="0" applyFont="1"/>
    <xf numFmtId="0" fontId="0" fillId="0" borderId="32" xfId="0" applyBorder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10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64" fillId="0" borderId="29" xfId="0" applyFont="1" applyBorder="1"/>
    <xf numFmtId="14" fontId="120" fillId="0" borderId="96" xfId="0" applyNumberFormat="1" applyFont="1" applyBorder="1" applyAlignment="1">
      <alignment horizontal="center" vertical="center"/>
    </xf>
    <xf numFmtId="0" fontId="139" fillId="0" borderId="96" xfId="0" applyFont="1" applyBorder="1" applyAlignment="1">
      <alignment horizontal="center" vertical="center"/>
    </xf>
    <xf numFmtId="168" fontId="140" fillId="0" borderId="96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wrapText="1"/>
    </xf>
    <xf numFmtId="0" fontId="86" fillId="0" borderId="0" xfId="0" applyFont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29" xfId="0" applyFont="1" applyBorder="1"/>
    <xf numFmtId="0" fontId="92" fillId="0" borderId="29" xfId="0" applyFont="1" applyBorder="1" applyAlignment="1">
      <alignment horizontal="center"/>
    </xf>
    <xf numFmtId="0" fontId="92" fillId="0" borderId="29" xfId="0" applyFont="1" applyBorder="1" applyAlignment="1">
      <alignment wrapText="1"/>
    </xf>
    <xf numFmtId="0" fontId="86" fillId="0" borderId="29" xfId="0" applyFont="1" applyBorder="1" applyAlignment="1">
      <alignment vertical="center"/>
    </xf>
    <xf numFmtId="14" fontId="93" fillId="0" borderId="29" xfId="0" applyNumberFormat="1" applyFont="1" applyBorder="1" applyAlignment="1" applyProtection="1">
      <alignment horizontal="center" vertical="center"/>
      <protection locked="0"/>
    </xf>
    <xf numFmtId="0" fontId="48" fillId="0" borderId="29" xfId="0" applyFont="1" applyBorder="1" applyAlignment="1">
      <alignment horizontal="right"/>
    </xf>
    <xf numFmtId="14" fontId="49" fillId="0" borderId="26" xfId="0" applyNumberFormat="1" applyFont="1" applyBorder="1" applyAlignment="1" applyProtection="1">
      <alignment vertical="center"/>
      <protection locked="0"/>
    </xf>
    <xf numFmtId="0" fontId="43" fillId="0" borderId="25" xfId="0" applyFont="1" applyBorder="1" applyAlignment="1">
      <alignment horizontal="left" vertical="top"/>
    </xf>
    <xf numFmtId="0" fontId="7" fillId="0" borderId="25" xfId="0" applyFont="1" applyBorder="1" applyAlignment="1">
      <alignment vertical="top" wrapText="1"/>
    </xf>
    <xf numFmtId="168" fontId="40" fillId="0" borderId="25" xfId="0" applyNumberFormat="1" applyFont="1" applyBorder="1" applyAlignment="1">
      <alignment vertical="center" wrapText="1"/>
    </xf>
    <xf numFmtId="0" fontId="141" fillId="0" borderId="96" xfId="0" applyFont="1" applyBorder="1" applyAlignment="1">
      <alignment horizontal="center" vertical="center"/>
    </xf>
    <xf numFmtId="0" fontId="48" fillId="4" borderId="93" xfId="0" applyFont="1" applyFill="1" applyBorder="1" applyAlignment="1">
      <alignment horizontal="left"/>
    </xf>
    <xf numFmtId="0" fontId="48" fillId="4" borderId="29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vertical="center" wrapText="1"/>
    </xf>
    <xf numFmtId="0" fontId="42" fillId="4" borderId="30" xfId="0" applyFont="1" applyFill="1" applyBorder="1" applyAlignment="1">
      <alignment vertical="center" wrapText="1"/>
    </xf>
    <xf numFmtId="0" fontId="19" fillId="0" borderId="93" xfId="0" applyFont="1" applyBorder="1"/>
    <xf numFmtId="0" fontId="83" fillId="0" borderId="29" xfId="0" applyFont="1" applyBorder="1" applyAlignment="1">
      <alignment horizontal="left"/>
    </xf>
    <xf numFmtId="0" fontId="83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13" fillId="0" borderId="29" xfId="0" applyFont="1" applyBorder="1"/>
    <xf numFmtId="0" fontId="16" fillId="0" borderId="29" xfId="0" applyFont="1" applyBorder="1" applyAlignment="1">
      <alignment vertical="center"/>
    </xf>
    <xf numFmtId="0" fontId="42" fillId="0" borderId="29" xfId="0" applyFont="1" applyBorder="1" applyAlignment="1">
      <alignment horizontal="center" vertical="top"/>
    </xf>
    <xf numFmtId="0" fontId="64" fillId="0" borderId="30" xfId="0" applyFont="1" applyBorder="1" applyAlignment="1">
      <alignment horizontal="center"/>
    </xf>
    <xf numFmtId="0" fontId="19" fillId="0" borderId="91" xfId="0" applyFont="1" applyBorder="1"/>
    <xf numFmtId="0" fontId="64" fillId="0" borderId="92" xfId="0" applyFont="1" applyBorder="1" applyAlignment="1">
      <alignment horizontal="center"/>
    </xf>
    <xf numFmtId="0" fontId="19" fillId="0" borderId="91" xfId="0" applyFont="1" applyBorder="1" applyAlignment="1">
      <alignment vertic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64" fillId="0" borderId="92" xfId="0" applyFont="1" applyBorder="1" applyAlignment="1">
      <alignment horizontal="center" vertical="center"/>
    </xf>
    <xf numFmtId="0" fontId="64" fillId="0" borderId="91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17" fillId="0" borderId="0" xfId="0" applyNumberFormat="1" applyFont="1" applyAlignment="1">
      <alignment horizontal="left"/>
    </xf>
    <xf numFmtId="0" fontId="86" fillId="0" borderId="0" xfId="0" applyFont="1"/>
    <xf numFmtId="14" fontId="19" fillId="0" borderId="91" xfId="0" applyNumberFormat="1" applyFont="1" applyBorder="1" applyAlignment="1">
      <alignment horizontal="center" vertical="center"/>
    </xf>
    <xf numFmtId="0" fontId="50" fillId="0" borderId="0" xfId="0" applyFont="1"/>
    <xf numFmtId="168" fontId="40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top"/>
    </xf>
    <xf numFmtId="0" fontId="43" fillId="0" borderId="0" xfId="0" applyFont="1" applyAlignment="1">
      <alignment horizontal="left" vertical="top"/>
    </xf>
    <xf numFmtId="0" fontId="4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8" fontId="135" fillId="0" borderId="0" xfId="0" applyNumberFormat="1" applyFont="1" applyAlignment="1">
      <alignment horizontal="left" vertical="center" wrapText="1"/>
    </xf>
    <xf numFmtId="168" fontId="162" fillId="0" borderId="0" xfId="0" applyNumberFormat="1" applyFont="1" applyAlignment="1">
      <alignment horizontal="left" vertical="center" wrapText="1"/>
    </xf>
    <xf numFmtId="14" fontId="19" fillId="0" borderId="31" xfId="0" applyNumberFormat="1" applyFont="1" applyBorder="1" applyAlignment="1">
      <alignment horizontal="center" vertical="center"/>
    </xf>
    <xf numFmtId="0" fontId="76" fillId="0" borderId="25" xfId="0" applyFont="1" applyBorder="1"/>
    <xf numFmtId="1" fontId="86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wrapText="1"/>
    </xf>
    <xf numFmtId="0" fontId="64" fillId="0" borderId="32" xfId="0" applyFont="1" applyBorder="1" applyAlignment="1">
      <alignment horizontal="center" vertical="center"/>
    </xf>
    <xf numFmtId="0" fontId="137" fillId="0" borderId="0" xfId="0" applyFont="1" applyAlignment="1">
      <alignment horizontal="center" vertical="center"/>
    </xf>
    <xf numFmtId="0" fontId="137" fillId="0" borderId="92" xfId="0" applyFont="1" applyBorder="1" applyAlignment="1">
      <alignment horizontal="center" vertical="center"/>
    </xf>
    <xf numFmtId="0" fontId="99" fillId="0" borderId="0" xfId="0" applyFont="1" applyAlignment="1">
      <alignment vertical="center"/>
    </xf>
    <xf numFmtId="0" fontId="99" fillId="0" borderId="92" xfId="0" applyFont="1" applyBorder="1" applyAlignment="1">
      <alignment vertical="center"/>
    </xf>
    <xf numFmtId="0" fontId="19" fillId="0" borderId="91" xfId="0" applyFont="1" applyBorder="1" applyAlignment="1">
      <alignment horizontal="center" vertical="center"/>
    </xf>
    <xf numFmtId="0" fontId="94" fillId="0" borderId="91" xfId="0" applyFont="1" applyBorder="1" applyAlignment="1">
      <alignment horizontal="right"/>
    </xf>
    <xf numFmtId="0" fontId="93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0" fontId="0" fillId="0" borderId="92" xfId="0" applyBorder="1" applyAlignment="1">
      <alignment vertical="center"/>
    </xf>
    <xf numFmtId="0" fontId="63" fillId="0" borderId="0" xfId="0" applyFont="1" applyAlignment="1">
      <alignment horizontal="right" vertical="center"/>
    </xf>
    <xf numFmtId="0" fontId="19" fillId="0" borderId="9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2" fillId="0" borderId="0" xfId="0" applyFont="1" applyAlignment="1">
      <alignment horizontal="center" vertical="center"/>
    </xf>
    <xf numFmtId="168" fontId="93" fillId="0" borderId="0" xfId="0" applyNumberFormat="1" applyFont="1" applyAlignment="1">
      <alignment horizontal="center" vertical="center" wrapText="1"/>
    </xf>
    <xf numFmtId="0" fontId="93" fillId="0" borderId="0" xfId="0" applyFont="1" applyAlignment="1">
      <alignment horizontal="center" vertical="center" wrapText="1"/>
    </xf>
    <xf numFmtId="49" fontId="4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center" vertical="center" wrapText="1"/>
    </xf>
    <xf numFmtId="0" fontId="7" fillId="0" borderId="92" xfId="0" applyFont="1" applyBorder="1" applyAlignment="1">
      <alignment vertical="top" wrapText="1"/>
    </xf>
    <xf numFmtId="0" fontId="19" fillId="0" borderId="31" xfId="0" applyFont="1" applyBorder="1" applyAlignment="1">
      <alignment wrapText="1"/>
    </xf>
    <xf numFmtId="0" fontId="0" fillId="0" borderId="25" xfId="0" applyBorder="1" applyAlignment="1">
      <alignment horizontal="left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50" fillId="0" borderId="25" xfId="0" applyFont="1" applyBorder="1" applyAlignment="1">
      <alignment horizontal="center" vertical="center"/>
    </xf>
    <xf numFmtId="171" fontId="86" fillId="0" borderId="25" xfId="0" applyNumberFormat="1" applyFont="1" applyBorder="1" applyAlignment="1">
      <alignment horizontal="left" vertical="center" wrapText="1"/>
    </xf>
    <xf numFmtId="0" fontId="19" fillId="0" borderId="31" xfId="0" applyFont="1" applyBorder="1"/>
    <xf numFmtId="0" fontId="48" fillId="0" borderId="25" xfId="0" applyFont="1" applyBorder="1" applyAlignment="1">
      <alignment horizontal="left" vertical="center" wrapText="1"/>
    </xf>
    <xf numFmtId="0" fontId="19" fillId="0" borderId="94" xfId="0" applyFont="1" applyBorder="1"/>
    <xf numFmtId="0" fontId="48" fillId="0" borderId="26" xfId="0" applyFont="1" applyBorder="1" applyAlignment="1">
      <alignment horizontal="left" vertical="center" wrapText="1"/>
    </xf>
    <xf numFmtId="0" fontId="50" fillId="0" borderId="26" xfId="0" applyFont="1" applyBorder="1" applyAlignment="1">
      <alignment horizontal="center" vertical="center"/>
    </xf>
    <xf numFmtId="171" fontId="86" fillId="0" borderId="26" xfId="0" applyNumberFormat="1" applyFont="1" applyBorder="1" applyAlignment="1">
      <alignment horizontal="left" vertical="center" wrapText="1"/>
    </xf>
    <xf numFmtId="14" fontId="49" fillId="7" borderId="95" xfId="0" applyNumberFormat="1" applyFont="1" applyFill="1" applyBorder="1" applyAlignment="1">
      <alignment horizontal="center" vertical="center"/>
    </xf>
    <xf numFmtId="0" fontId="0" fillId="0" borderId="95" xfId="0" applyBorder="1"/>
    <xf numFmtId="0" fontId="49" fillId="0" borderId="25" xfId="0" applyFont="1" applyBorder="1" applyAlignment="1">
      <alignment horizontal="left" vertical="center" wrapText="1"/>
    </xf>
    <xf numFmtId="0" fontId="48" fillId="0" borderId="25" xfId="0" applyFont="1" applyBorder="1" applyAlignment="1">
      <alignment horizontal="center" vertical="center"/>
    </xf>
    <xf numFmtId="0" fontId="155" fillId="0" borderId="97" xfId="0" applyFont="1" applyBorder="1" applyAlignment="1">
      <alignment horizontal="left"/>
    </xf>
    <xf numFmtId="168" fontId="106" fillId="0" borderId="98" xfId="0" applyNumberFormat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21" fillId="8" borderId="99" xfId="0" applyFont="1" applyFill="1" applyBorder="1" applyAlignment="1">
      <alignment horizontal="center" vertical="center"/>
    </xf>
    <xf numFmtId="0" fontId="142" fillId="0" borderId="100" xfId="0" applyFont="1" applyBorder="1" applyAlignment="1">
      <alignment horizontal="center" vertical="center"/>
    </xf>
    <xf numFmtId="0" fontId="44" fillId="0" borderId="96" xfId="0" applyFont="1" applyBorder="1" applyAlignment="1">
      <alignment horizontal="center" vertical="center"/>
    </xf>
    <xf numFmtId="0" fontId="102" fillId="0" borderId="96" xfId="0" applyFont="1" applyBorder="1" applyAlignment="1">
      <alignment horizontal="center" vertical="center" wrapText="1"/>
    </xf>
    <xf numFmtId="168" fontId="39" fillId="0" borderId="96" xfId="0" applyNumberFormat="1" applyFont="1" applyBorder="1" applyAlignment="1">
      <alignment horizontal="center" vertical="center" wrapText="1"/>
    </xf>
    <xf numFmtId="171" fontId="39" fillId="0" borderId="96" xfId="3" applyNumberFormat="1" applyFont="1" applyBorder="1" applyAlignment="1" applyProtection="1">
      <alignment horizontal="left" vertical="center"/>
    </xf>
    <xf numFmtId="171" fontId="80" fillId="0" borderId="96" xfId="3" applyNumberFormat="1" applyFont="1" applyBorder="1" applyAlignment="1" applyProtection="1">
      <alignment horizontal="left" vertical="center"/>
    </xf>
    <xf numFmtId="0" fontId="128" fillId="7" borderId="96" xfId="0" applyFont="1" applyFill="1" applyBorder="1" applyAlignment="1">
      <alignment horizontal="center" vertical="center"/>
    </xf>
    <xf numFmtId="0" fontId="42" fillId="7" borderId="96" xfId="0" applyFont="1" applyFill="1" applyBorder="1" applyAlignment="1">
      <alignment horizontal="center" vertical="top"/>
    </xf>
    <xf numFmtId="0" fontId="39" fillId="7" borderId="96" xfId="0" applyFont="1" applyFill="1" applyBorder="1" applyAlignment="1">
      <alignment horizontal="center" vertical="center" wrapText="1"/>
    </xf>
    <xf numFmtId="1" fontId="84" fillId="7" borderId="96" xfId="0" applyNumberFormat="1" applyFont="1" applyFill="1" applyBorder="1"/>
    <xf numFmtId="0" fontId="39" fillId="7" borderId="96" xfId="0" applyFont="1" applyFill="1" applyBorder="1"/>
    <xf numFmtId="0" fontId="124" fillId="7" borderId="96" xfId="0" applyFont="1" applyFill="1" applyBorder="1" applyAlignment="1">
      <alignment horizontal="center" vertical="center"/>
    </xf>
    <xf numFmtId="0" fontId="128" fillId="0" borderId="96" xfId="0" applyFont="1" applyBorder="1" applyAlignment="1">
      <alignment vertical="center"/>
    </xf>
    <xf numFmtId="1" fontId="128" fillId="0" borderId="96" xfId="0" applyNumberFormat="1" applyFont="1" applyBorder="1" applyAlignment="1">
      <alignment horizontal="right" vertical="center"/>
    </xf>
    <xf numFmtId="1" fontId="128" fillId="0" borderId="96" xfId="0" applyNumberFormat="1" applyFont="1" applyBorder="1" applyAlignment="1">
      <alignment vertical="center"/>
    </xf>
    <xf numFmtId="0" fontId="124" fillId="0" borderId="96" xfId="0" applyFont="1" applyBorder="1" applyAlignment="1">
      <alignment horizontal="center" vertical="center"/>
    </xf>
    <xf numFmtId="167" fontId="165" fillId="0" borderId="94" xfId="0" applyNumberFormat="1" applyFont="1" applyBorder="1" applyAlignment="1">
      <alignment horizontal="center" vertical="center"/>
    </xf>
    <xf numFmtId="170" fontId="167" fillId="0" borderId="26" xfId="0" applyNumberFormat="1" applyFont="1" applyBorder="1" applyAlignment="1">
      <alignment horizontal="center" vertical="center"/>
    </xf>
    <xf numFmtId="170" fontId="168" fillId="0" borderId="26" xfId="0" applyNumberFormat="1" applyFont="1" applyBorder="1" applyAlignment="1">
      <alignment horizontal="center" vertical="center"/>
    </xf>
    <xf numFmtId="0" fontId="169" fillId="0" borderId="95" xfId="0" applyFont="1" applyBorder="1" applyAlignment="1">
      <alignment vertical="center"/>
    </xf>
    <xf numFmtId="0" fontId="42" fillId="7" borderId="91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92" xfId="0" applyFont="1" applyFill="1" applyBorder="1" applyAlignment="1">
      <alignment vertical="center"/>
    </xf>
    <xf numFmtId="0" fontId="42" fillId="0" borderId="91" xfId="0" applyFont="1" applyBorder="1" applyAlignment="1">
      <alignment vertical="center"/>
    </xf>
    <xf numFmtId="0" fontId="42" fillId="0" borderId="92" xfId="0" applyFont="1" applyBorder="1" applyAlignment="1">
      <alignment vertical="center"/>
    </xf>
    <xf numFmtId="0" fontId="42" fillId="7" borderId="31" xfId="0" applyFont="1" applyFill="1" applyBorder="1" applyAlignment="1">
      <alignment vertical="center"/>
    </xf>
    <xf numFmtId="0" fontId="42" fillId="7" borderId="25" xfId="0" applyFont="1" applyFill="1" applyBorder="1" applyAlignment="1">
      <alignment vertical="center"/>
    </xf>
    <xf numFmtId="0" fontId="42" fillId="7" borderId="32" xfId="0" applyFont="1" applyFill="1" applyBorder="1" applyAlignment="1">
      <alignment vertical="center"/>
    </xf>
    <xf numFmtId="0" fontId="177" fillId="0" borderId="0" xfId="0" applyFont="1" applyAlignment="1">
      <alignment vertical="center"/>
    </xf>
    <xf numFmtId="49" fontId="42" fillId="0" borderId="96" xfId="0" applyNumberFormat="1" applyFont="1" applyBorder="1" applyAlignment="1">
      <alignment horizontal="center" vertical="center"/>
    </xf>
    <xf numFmtId="0" fontId="178" fillId="0" borderId="0" xfId="0" applyFont="1" applyAlignment="1">
      <alignment vertical="top"/>
    </xf>
    <xf numFmtId="49" fontId="129" fillId="7" borderId="71" xfId="0" applyNumberFormat="1" applyFont="1" applyFill="1" applyBorder="1" applyAlignment="1">
      <alignment horizontal="center"/>
    </xf>
    <xf numFmtId="49" fontId="124" fillId="7" borderId="72" xfId="0" applyNumberFormat="1" applyFont="1" applyFill="1" applyBorder="1" applyAlignment="1">
      <alignment horizontal="center" vertical="top"/>
    </xf>
    <xf numFmtId="0" fontId="39" fillId="0" borderId="33" xfId="0" applyFont="1" applyBorder="1" applyAlignment="1">
      <alignment horizontal="center" vertical="center" wrapText="1"/>
    </xf>
    <xf numFmtId="49" fontId="102" fillId="0" borderId="33" xfId="0" applyNumberFormat="1" applyFont="1" applyBorder="1" applyAlignment="1">
      <alignment horizontal="left" vertical="center"/>
    </xf>
    <xf numFmtId="49" fontId="102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208" fillId="9" borderId="73" xfId="0" applyFont="1" applyFill="1" applyBorder="1" applyAlignment="1">
      <alignment horizontal="center"/>
    </xf>
    <xf numFmtId="0" fontId="208" fillId="9" borderId="74" xfId="0" applyFont="1" applyFill="1" applyBorder="1" applyAlignment="1">
      <alignment horizontal="center"/>
    </xf>
    <xf numFmtId="49" fontId="42" fillId="0" borderId="96" xfId="0" applyNumberFormat="1" applyFont="1" applyBorder="1" applyAlignment="1">
      <alignment horizontal="left" vertical="center"/>
    </xf>
    <xf numFmtId="0" fontId="39" fillId="7" borderId="96" xfId="0" applyFont="1" applyFill="1" applyBorder="1" applyAlignment="1">
      <alignment horizontal="center" vertical="center"/>
    </xf>
    <xf numFmtId="0" fontId="42" fillId="0" borderId="0" xfId="6" applyFont="1" applyFill="1"/>
    <xf numFmtId="0" fontId="49" fillId="0" borderId="0" xfId="6" applyFont="1" applyFill="1" applyAlignment="1">
      <alignment horizontal="center" vertical="center"/>
    </xf>
    <xf numFmtId="0" fontId="40" fillId="0" borderId="0" xfId="6" applyFont="1" applyFill="1" applyAlignment="1">
      <alignment horizontal="center" vertical="center"/>
    </xf>
    <xf numFmtId="0" fontId="4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3" fillId="0" borderId="0" xfId="0" applyFont="1" applyAlignment="1">
      <alignment horizontal="center" vertical="top"/>
    </xf>
    <xf numFmtId="0" fontId="48" fillId="0" borderId="25" xfId="0" applyFont="1" applyBorder="1" applyAlignment="1">
      <alignment horizontal="left" vertical="center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right" vertical="center"/>
    </xf>
    <xf numFmtId="0" fontId="43" fillId="0" borderId="0" xfId="0" applyFont="1"/>
    <xf numFmtId="0" fontId="189" fillId="0" borderId="0" xfId="0" applyFont="1" applyAlignment="1">
      <alignment vertical="top"/>
    </xf>
    <xf numFmtId="0" fontId="188" fillId="0" borderId="0" xfId="0" applyFont="1" applyAlignment="1">
      <alignment vertical="top"/>
    </xf>
    <xf numFmtId="0" fontId="48" fillId="0" borderId="25" xfId="0" applyFont="1" applyBorder="1"/>
    <xf numFmtId="0" fontId="191" fillId="0" borderId="25" xfId="0" applyFont="1" applyBorder="1" applyAlignment="1">
      <alignment horizontal="left" vertical="top"/>
    </xf>
    <xf numFmtId="0" fontId="192" fillId="0" borderId="0" xfId="0" applyFont="1" applyAlignment="1">
      <alignment horizontal="left" vertical="center"/>
    </xf>
    <xf numFmtId="0" fontId="48" fillId="0" borderId="0" xfId="0" applyFont="1" applyAlignment="1">
      <alignment vertical="top"/>
    </xf>
    <xf numFmtId="0" fontId="48" fillId="0" borderId="26" xfId="0" applyFont="1" applyBorder="1" applyAlignment="1">
      <alignment horizontal="left" vertical="center"/>
    </xf>
    <xf numFmtId="0" fontId="48" fillId="0" borderId="26" xfId="0" applyFont="1" applyBorder="1"/>
    <xf numFmtId="0" fontId="48" fillId="0" borderId="26" xfId="0" applyFont="1" applyBorder="1" applyAlignment="1">
      <alignment horizontal="center"/>
    </xf>
    <xf numFmtId="0" fontId="42" fillId="0" borderId="26" xfId="0" applyFont="1" applyBorder="1"/>
    <xf numFmtId="0" fontId="189" fillId="0" borderId="0" xfId="0" applyFont="1" applyAlignment="1">
      <alignment horizontal="left" vertical="center"/>
    </xf>
    <xf numFmtId="0" fontId="19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2" fillId="0" borderId="0" xfId="0" applyFont="1" applyAlignment="1">
      <alignment horizontal="right" vertical="top"/>
    </xf>
    <xf numFmtId="14" fontId="49" fillId="0" borderId="0" xfId="0" applyNumberFormat="1" applyFont="1" applyAlignment="1">
      <alignment horizontal="right"/>
    </xf>
    <xf numFmtId="14" fontId="49" fillId="0" borderId="0" xfId="0" applyNumberFormat="1" applyFont="1"/>
    <xf numFmtId="14" fontId="48" fillId="0" borderId="0" xfId="0" applyNumberFormat="1" applyFont="1" applyAlignment="1">
      <alignment horizontal="right"/>
    </xf>
    <xf numFmtId="0" fontId="135" fillId="0" borderId="0" xfId="0" applyFont="1" applyAlignment="1">
      <alignment horizontal="right"/>
    </xf>
    <xf numFmtId="0" fontId="188" fillId="0" borderId="43" xfId="0" applyFont="1" applyBorder="1" applyAlignment="1">
      <alignment horizontal="center" vertical="top"/>
    </xf>
    <xf numFmtId="0" fontId="188" fillId="0" borderId="41" xfId="0" applyFont="1" applyBorder="1" applyAlignment="1">
      <alignment horizontal="center" vertical="top"/>
    </xf>
    <xf numFmtId="0" fontId="128" fillId="0" borderId="0" xfId="0" applyFont="1" applyAlignment="1">
      <alignment horizontal="center" vertical="center"/>
    </xf>
    <xf numFmtId="0" fontId="124" fillId="0" borderId="44" xfId="0" applyFont="1" applyBorder="1" applyAlignment="1">
      <alignment horizontal="center" vertical="center"/>
    </xf>
    <xf numFmtId="0" fontId="124" fillId="0" borderId="42" xfId="0" applyFont="1" applyBorder="1" applyAlignment="1">
      <alignment horizontal="center" vertical="center"/>
    </xf>
    <xf numFmtId="0" fontId="130" fillId="0" borderId="0" xfId="0" applyFont="1"/>
    <xf numFmtId="0" fontId="49" fillId="0" borderId="78" xfId="0" applyFont="1" applyBorder="1" applyAlignment="1">
      <alignment horizontal="center" vertical="center"/>
    </xf>
    <xf numFmtId="0" fontId="49" fillId="0" borderId="78" xfId="0" applyFont="1" applyBorder="1" applyAlignment="1">
      <alignment horizontal="left" vertical="center"/>
    </xf>
    <xf numFmtId="0" fontId="48" fillId="0" borderId="78" xfId="0" applyFont="1" applyBorder="1" applyAlignment="1">
      <alignment horizontal="left"/>
    </xf>
    <xf numFmtId="0" fontId="48" fillId="0" borderId="78" xfId="0" applyFont="1" applyBorder="1" applyAlignment="1">
      <alignment horizontal="left" vertical="center"/>
    </xf>
    <xf numFmtId="0" fontId="48" fillId="0" borderId="78" xfId="0" applyFont="1" applyBorder="1" applyAlignment="1">
      <alignment horizontal="center" vertical="center"/>
    </xf>
    <xf numFmtId="0" fontId="48" fillId="0" borderId="78" xfId="0" applyFont="1" applyBorder="1" applyAlignment="1">
      <alignment horizontal="left" vertical="top"/>
    </xf>
    <xf numFmtId="0" fontId="48" fillId="0" borderId="78" xfId="0" applyFont="1" applyBorder="1" applyAlignment="1">
      <alignment horizontal="right" vertical="top"/>
    </xf>
    <xf numFmtId="3" fontId="48" fillId="0" borderId="25" xfId="0" applyNumberFormat="1" applyFont="1" applyBorder="1" applyAlignment="1">
      <alignment horizontal="right" vertical="top"/>
    </xf>
    <xf numFmtId="168" fontId="48" fillId="0" borderId="78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horizontal="right" vertical="top"/>
    </xf>
    <xf numFmtId="3" fontId="48" fillId="0" borderId="78" xfId="0" applyNumberFormat="1" applyFont="1" applyBorder="1" applyAlignment="1">
      <alignment horizontal="right" vertical="top"/>
    </xf>
    <xf numFmtId="3" fontId="48" fillId="0" borderId="78" xfId="0" applyNumberFormat="1" applyFont="1" applyBorder="1" applyAlignment="1">
      <alignment vertical="center"/>
    </xf>
    <xf numFmtId="3" fontId="48" fillId="0" borderId="78" xfId="0" applyNumberFormat="1" applyFont="1" applyBorder="1" applyAlignment="1">
      <alignment horizontal="right" vertical="center"/>
    </xf>
    <xf numFmtId="168" fontId="48" fillId="0" borderId="78" xfId="0" applyNumberFormat="1" applyFont="1" applyBorder="1" applyAlignment="1">
      <alignment horizontal="right" vertical="center"/>
    </xf>
    <xf numFmtId="0" fontId="49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right" vertical="top"/>
    </xf>
    <xf numFmtId="168" fontId="48" fillId="0" borderId="26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vertical="center"/>
    </xf>
    <xf numFmtId="3" fontId="48" fillId="0" borderId="26" xfId="0" applyNumberFormat="1" applyFont="1" applyBorder="1" applyAlignment="1">
      <alignment horizontal="right" vertical="center"/>
    </xf>
    <xf numFmtId="168" fontId="48" fillId="0" borderId="26" xfId="0" applyNumberFormat="1" applyFont="1" applyBorder="1" applyAlignment="1">
      <alignment horizontal="right" vertical="center"/>
    </xf>
    <xf numFmtId="0" fontId="39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top"/>
    </xf>
    <xf numFmtId="0" fontId="42" fillId="0" borderId="26" xfId="0" applyFont="1" applyBorder="1" applyAlignment="1">
      <alignment horizontal="right" vertical="top"/>
    </xf>
    <xf numFmtId="3" fontId="42" fillId="0" borderId="26" xfId="0" applyNumberFormat="1" applyFont="1" applyBorder="1" applyAlignment="1">
      <alignment horizontal="right" vertical="top"/>
    </xf>
    <xf numFmtId="168" fontId="42" fillId="0" borderId="26" xfId="0" applyNumberFormat="1" applyFont="1" applyBorder="1" applyAlignment="1">
      <alignment horizontal="right" vertical="top"/>
    </xf>
    <xf numFmtId="0" fontId="188" fillId="0" borderId="25" xfId="0" applyFont="1" applyBorder="1" applyAlignment="1">
      <alignment horizontal="right"/>
    </xf>
    <xf numFmtId="0" fontId="188" fillId="0" borderId="25" xfId="0" applyFont="1" applyBorder="1" applyAlignment="1">
      <alignment horizontal="right" vertical="top"/>
    </xf>
    <xf numFmtId="3" fontId="188" fillId="0" borderId="25" xfId="0" applyNumberFormat="1" applyFont="1" applyBorder="1" applyAlignment="1">
      <alignment horizontal="right" vertical="center"/>
    </xf>
    <xf numFmtId="3" fontId="136" fillId="0" borderId="25" xfId="0" applyNumberFormat="1" applyFont="1" applyBorder="1" applyAlignment="1">
      <alignment horizontal="right" vertical="center"/>
    </xf>
    <xf numFmtId="0" fontId="187" fillId="0" borderId="0" xfId="0" applyFont="1" applyAlignment="1">
      <alignment horizontal="left" vertical="center"/>
    </xf>
    <xf numFmtId="0" fontId="188" fillId="0" borderId="26" xfId="0" applyFont="1" applyBorder="1" applyAlignment="1">
      <alignment horizontal="right"/>
    </xf>
    <xf numFmtId="3" fontId="188" fillId="0" borderId="26" xfId="0" applyNumberFormat="1" applyFont="1" applyBorder="1" applyAlignment="1">
      <alignment horizontal="right" vertical="center"/>
    </xf>
    <xf numFmtId="3" fontId="136" fillId="0" borderId="26" xfId="0" applyNumberFormat="1" applyFont="1" applyBorder="1" applyAlignment="1">
      <alignment horizontal="right" vertical="center"/>
    </xf>
    <xf numFmtId="0" fontId="44" fillId="0" borderId="85" xfId="0" applyFont="1" applyBorder="1"/>
    <xf numFmtId="0" fontId="44" fillId="0" borderId="86" xfId="0" applyFont="1" applyBorder="1"/>
    <xf numFmtId="0" fontId="44" fillId="0" borderId="87" xfId="0" applyFont="1" applyBorder="1"/>
    <xf numFmtId="0" fontId="44" fillId="0" borderId="0" xfId="0" applyFont="1" applyAlignment="1">
      <alignment horizontal="left" vertical="center"/>
    </xf>
    <xf numFmtId="0" fontId="43" fillId="0" borderId="0" xfId="0" applyFont="1" applyAlignment="1">
      <alignment horizontal="center"/>
    </xf>
    <xf numFmtId="168" fontId="44" fillId="0" borderId="0" xfId="0" applyNumberFormat="1" applyFont="1"/>
    <xf numFmtId="0" fontId="181" fillId="0" borderId="111" xfId="0" applyFont="1" applyBorder="1" applyAlignment="1">
      <alignment vertical="center"/>
    </xf>
    <xf numFmtId="0" fontId="181" fillId="0" borderId="110" xfId="0" applyFont="1" applyBorder="1" applyAlignment="1">
      <alignment vertical="center"/>
    </xf>
    <xf numFmtId="0" fontId="181" fillId="0" borderId="115" xfId="0" applyFont="1" applyBorder="1" applyAlignment="1">
      <alignment vertical="center"/>
    </xf>
    <xf numFmtId="0" fontId="181" fillId="0" borderId="0" xfId="0" applyFont="1" applyAlignment="1">
      <alignment vertical="center"/>
    </xf>
    <xf numFmtId="0" fontId="181" fillId="0" borderId="113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181" fillId="0" borderId="118" xfId="0" applyFont="1" applyBorder="1" applyAlignment="1">
      <alignment horizontal="center" vertical="center"/>
    </xf>
    <xf numFmtId="0" fontId="44" fillId="0" borderId="58" xfId="0" applyFont="1" applyBorder="1"/>
    <xf numFmtId="0" fontId="44" fillId="0" borderId="113" xfId="0" applyFont="1" applyBorder="1"/>
    <xf numFmtId="0" fontId="39" fillId="0" borderId="118" xfId="0" applyFont="1" applyBorder="1" applyAlignment="1">
      <alignment horizontal="center" vertical="center"/>
    </xf>
    <xf numFmtId="0" fontId="128" fillId="0" borderId="0" xfId="0" applyFont="1"/>
    <xf numFmtId="168" fontId="68" fillId="0" borderId="0" xfId="0" applyNumberFormat="1" applyFont="1"/>
    <xf numFmtId="0" fontId="44" fillId="0" borderId="58" xfId="0" applyFont="1" applyBorder="1" applyAlignment="1">
      <alignment horizontal="center" vertical="center"/>
    </xf>
    <xf numFmtId="0" fontId="44" fillId="0" borderId="113" xfId="0" applyFont="1" applyBorder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04" fillId="0" borderId="118" xfId="0" applyFont="1" applyBorder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0" fontId="39" fillId="0" borderId="58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0" fontId="119" fillId="0" borderId="118" xfId="0" applyFont="1" applyBorder="1" applyAlignment="1">
      <alignment horizontal="center" vertical="center"/>
    </xf>
    <xf numFmtId="0" fontId="199" fillId="0" borderId="27" xfId="0" applyFont="1" applyBorder="1" applyAlignment="1">
      <alignment horizontal="center" vertical="center"/>
    </xf>
    <xf numFmtId="0" fontId="39" fillId="0" borderId="114" xfId="0" applyFont="1" applyBorder="1"/>
    <xf numFmtId="0" fontId="124" fillId="0" borderId="102" xfId="0" applyFont="1" applyBorder="1" applyAlignment="1">
      <alignment horizontal="center" vertical="center"/>
    </xf>
    <xf numFmtId="0" fontId="119" fillId="0" borderId="116" xfId="0" applyFont="1" applyBorder="1"/>
    <xf numFmtId="0" fontId="119" fillId="0" borderId="28" xfId="0" applyFont="1" applyBorder="1" applyAlignment="1">
      <alignment horizontal="center" vertical="top"/>
    </xf>
    <xf numFmtId="0" fontId="39" fillId="0" borderId="111" xfId="0" applyFont="1" applyBorder="1"/>
    <xf numFmtId="0" fontId="128" fillId="0" borderId="110" xfId="0" applyFont="1" applyBorder="1" applyAlignment="1">
      <alignment horizontal="left"/>
    </xf>
    <xf numFmtId="0" fontId="165" fillId="0" borderId="110" xfId="0" applyFont="1" applyBorder="1" applyAlignment="1">
      <alignment horizontal="center" vertical="center"/>
    </xf>
    <xf numFmtId="0" fontId="43" fillId="0" borderId="115" xfId="0" applyFont="1" applyBorder="1" applyAlignment="1">
      <alignment horizontal="left" vertical="center"/>
    </xf>
    <xf numFmtId="0" fontId="49" fillId="0" borderId="119" xfId="0" applyFont="1" applyBorder="1" applyAlignment="1">
      <alignment horizontal="center" vertical="center"/>
    </xf>
    <xf numFmtId="0" fontId="49" fillId="0" borderId="25" xfId="0" applyFont="1" applyBorder="1" applyAlignment="1">
      <alignment horizontal="left" vertical="center"/>
    </xf>
    <xf numFmtId="0" fontId="48" fillId="0" borderId="25" xfId="0" applyFont="1" applyBorder="1" applyAlignment="1">
      <alignment horizontal="center" vertical="top"/>
    </xf>
    <xf numFmtId="177" fontId="48" fillId="0" borderId="25" xfId="0" applyNumberFormat="1" applyFont="1" applyBorder="1" applyAlignment="1">
      <alignment horizontal="right" vertical="center"/>
    </xf>
    <xf numFmtId="3" fontId="48" fillId="0" borderId="25" xfId="0" applyNumberFormat="1" applyFont="1" applyBorder="1" applyAlignment="1">
      <alignment horizontal="right" vertical="center"/>
    </xf>
    <xf numFmtId="3" fontId="48" fillId="0" borderId="120" xfId="0" applyNumberFormat="1" applyFont="1" applyBorder="1" applyAlignment="1">
      <alignment horizontal="right" vertical="center"/>
    </xf>
    <xf numFmtId="177" fontId="49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horizontal="center" vertical="center"/>
    </xf>
    <xf numFmtId="0" fontId="39" fillId="0" borderId="113" xfId="0" applyFont="1" applyBorder="1"/>
    <xf numFmtId="14" fontId="97" fillId="0" borderId="77" xfId="0" applyNumberFormat="1" applyFont="1" applyBorder="1" applyAlignment="1">
      <alignment horizontal="left" vertical="center"/>
    </xf>
    <xf numFmtId="0" fontId="205" fillId="0" borderId="82" xfId="0" applyFont="1" applyBorder="1" applyAlignment="1">
      <alignment horizontal="center" vertical="center"/>
    </xf>
    <xf numFmtId="0" fontId="80" fillId="0" borderId="118" xfId="0" applyFont="1" applyBorder="1" applyAlignment="1">
      <alignment horizontal="center" vertical="center"/>
    </xf>
    <xf numFmtId="177" fontId="48" fillId="0" borderId="26" xfId="0" applyNumberFormat="1" applyFont="1" applyBorder="1" applyAlignment="1">
      <alignment horizontal="right" vertical="center"/>
    </xf>
    <xf numFmtId="0" fontId="165" fillId="0" borderId="0" xfId="0" applyFont="1" applyAlignment="1">
      <alignment horizontal="left" vertical="center"/>
    </xf>
    <xf numFmtId="0" fontId="128" fillId="0" borderId="0" xfId="0" applyFont="1" applyAlignment="1">
      <alignment horizontal="left" vertical="center"/>
    </xf>
    <xf numFmtId="0" fontId="44" fillId="0" borderId="118" xfId="0" applyFont="1" applyBorder="1"/>
    <xf numFmtId="0" fontId="63" fillId="0" borderId="118" xfId="0" applyFont="1" applyBorder="1"/>
    <xf numFmtId="0" fontId="130" fillId="0" borderId="118" xfId="0" applyFont="1" applyBorder="1"/>
    <xf numFmtId="0" fontId="48" fillId="0" borderId="77" xfId="0" applyFont="1" applyBorder="1" applyAlignment="1">
      <alignment horizontal="left"/>
    </xf>
    <xf numFmtId="0" fontId="48" fillId="0" borderId="77" xfId="0" applyFont="1" applyBorder="1" applyAlignment="1">
      <alignment horizontal="left" vertical="top"/>
    </xf>
    <xf numFmtId="0" fontId="39" fillId="0" borderId="118" xfId="0" applyFont="1" applyBorder="1"/>
    <xf numFmtId="0" fontId="128" fillId="0" borderId="0" xfId="0" applyFont="1" applyAlignment="1">
      <alignment horizontal="left"/>
    </xf>
    <xf numFmtId="0" fontId="48" fillId="0" borderId="77" xfId="0" applyFont="1" applyBorder="1" applyAlignment="1">
      <alignment vertical="top"/>
    </xf>
    <xf numFmtId="178" fontId="49" fillId="0" borderId="0" xfId="0" applyNumberFormat="1" applyFont="1" applyAlignment="1">
      <alignment horizontal="left" vertical="top" wrapText="1"/>
    </xf>
    <xf numFmtId="49" fontId="48" fillId="0" borderId="0" xfId="0" applyNumberFormat="1" applyFont="1" applyAlignment="1">
      <alignment vertical="top"/>
    </xf>
    <xf numFmtId="0" fontId="49" fillId="0" borderId="101" xfId="0" applyFont="1" applyBorder="1" applyAlignment="1">
      <alignment horizontal="center" vertical="center"/>
    </xf>
    <xf numFmtId="0" fontId="48" fillId="0" borderId="118" xfId="0" applyFont="1" applyBorder="1" applyAlignment="1">
      <alignment horizontal="left" vertical="center"/>
    </xf>
    <xf numFmtId="49" fontId="48" fillId="0" borderId="0" xfId="0" applyNumberFormat="1" applyFont="1" applyAlignment="1">
      <alignment vertical="top" wrapText="1"/>
    </xf>
    <xf numFmtId="0" fontId="128" fillId="0" borderId="0" xfId="0" applyFont="1" applyAlignment="1">
      <alignment horizontal="right"/>
    </xf>
    <xf numFmtId="3" fontId="44" fillId="0" borderId="0" xfId="0" applyNumberFormat="1" applyFont="1"/>
    <xf numFmtId="0" fontId="78" fillId="0" borderId="111" xfId="0" applyFont="1" applyBorder="1" applyAlignment="1">
      <alignment horizontal="center" vertical="center"/>
    </xf>
    <xf numFmtId="0" fontId="78" fillId="0" borderId="110" xfId="0" applyFont="1" applyBorder="1" applyAlignment="1">
      <alignment horizontal="center" vertical="center"/>
    </xf>
    <xf numFmtId="0" fontId="39" fillId="0" borderId="110" xfId="0" applyFont="1" applyBorder="1" applyAlignment="1">
      <alignment horizontal="left" vertical="center"/>
    </xf>
    <xf numFmtId="0" fontId="42" fillId="0" borderId="110" xfId="0" applyFont="1" applyBorder="1" applyAlignment="1">
      <alignment horizontal="center"/>
    </xf>
    <xf numFmtId="0" fontId="39" fillId="0" borderId="110" xfId="0" applyFont="1" applyBorder="1" applyAlignment="1">
      <alignment horizontal="center" vertical="center"/>
    </xf>
    <xf numFmtId="168" fontId="39" fillId="0" borderId="110" xfId="0" applyNumberFormat="1" applyFont="1" applyBorder="1"/>
    <xf numFmtId="0" fontId="50" fillId="0" borderId="103" xfId="0" applyFont="1" applyBorder="1" applyAlignment="1">
      <alignment horizontal="right" vertical="top"/>
    </xf>
    <xf numFmtId="3" fontId="80" fillId="0" borderId="112" xfId="0" applyNumberFormat="1" applyFont="1" applyBorder="1" applyAlignment="1">
      <alignment horizontal="right" vertical="center"/>
    </xf>
    <xf numFmtId="3" fontId="97" fillId="0" borderId="0" xfId="0" applyNumberFormat="1" applyFont="1" applyAlignment="1">
      <alignment horizontal="center" vertical="center"/>
    </xf>
    <xf numFmtId="177" fontId="39" fillId="0" borderId="101" xfId="0" applyNumberFormat="1" applyFont="1" applyBorder="1" applyAlignment="1">
      <alignment horizontal="center" vertical="center"/>
    </xf>
    <xf numFmtId="0" fontId="202" fillId="0" borderId="101" xfId="0" applyFont="1" applyBorder="1" applyAlignment="1">
      <alignment horizontal="center" vertical="center"/>
    </xf>
    <xf numFmtId="3" fontId="42" fillId="0" borderId="0" xfId="0" applyNumberFormat="1" applyFont="1" applyAlignment="1">
      <alignment horizontal="right" vertical="center"/>
    </xf>
    <xf numFmtId="3" fontId="42" fillId="0" borderId="0" xfId="0" applyNumberFormat="1" applyFont="1" applyAlignment="1">
      <alignment vertical="center"/>
    </xf>
    <xf numFmtId="0" fontId="78" fillId="0" borderId="113" xfId="0" applyFont="1" applyBorder="1" applyAlignment="1">
      <alignment horizontal="center" vertical="center"/>
    </xf>
    <xf numFmtId="0" fontId="203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/>
    </xf>
    <xf numFmtId="0" fontId="44" fillId="0" borderId="114" xfId="0" applyFont="1" applyBorder="1"/>
    <xf numFmtId="0" fontId="44" fillId="0" borderId="102" xfId="0" applyFont="1" applyBorder="1"/>
    <xf numFmtId="0" fontId="44" fillId="0" borderId="116" xfId="0" applyFont="1" applyBorder="1"/>
    <xf numFmtId="0" fontId="44" fillId="0" borderId="114" xfId="0" applyFont="1" applyBorder="1" applyAlignment="1">
      <alignment horizontal="center" vertical="center"/>
    </xf>
    <xf numFmtId="0" fontId="187" fillId="0" borderId="102" xfId="0" applyFont="1" applyBorder="1" applyAlignment="1">
      <alignment vertical="center"/>
    </xf>
    <xf numFmtId="0" fontId="43" fillId="0" borderId="102" xfId="0" applyFont="1" applyBorder="1" applyAlignment="1">
      <alignment horizontal="left"/>
    </xf>
    <xf numFmtId="0" fontId="43" fillId="0" borderId="102" xfId="0" applyFont="1" applyBorder="1" applyAlignment="1">
      <alignment horizontal="center"/>
    </xf>
    <xf numFmtId="0" fontId="44" fillId="0" borderId="102" xfId="0" applyFont="1" applyBorder="1" applyAlignment="1">
      <alignment horizontal="center" vertical="center"/>
    </xf>
    <xf numFmtId="0" fontId="42" fillId="0" borderId="102" xfId="0" applyFont="1" applyBorder="1" applyAlignment="1">
      <alignment horizontal="left" vertical="center"/>
    </xf>
    <xf numFmtId="168" fontId="44" fillId="0" borderId="102" xfId="0" applyNumberFormat="1" applyFont="1" applyBorder="1"/>
    <xf numFmtId="0" fontId="212" fillId="0" borderId="0" xfId="0" applyFont="1" applyAlignment="1">
      <alignment horizontal="left" vertical="center"/>
    </xf>
    <xf numFmtId="0" fontId="213" fillId="0" borderId="0" xfId="0" applyFont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215" fillId="0" borderId="0" xfId="0" applyFont="1" applyAlignment="1">
      <alignment horizontal="center" vertical="center"/>
    </xf>
    <xf numFmtId="0" fontId="216" fillId="0" borderId="0" xfId="0" applyFont="1" applyAlignment="1">
      <alignment horizontal="center" vertical="center" wrapText="1"/>
    </xf>
    <xf numFmtId="0" fontId="217" fillId="0" borderId="0" xfId="0" applyFont="1" applyAlignment="1">
      <alignment horizontal="left" vertical="center"/>
    </xf>
    <xf numFmtId="14" fontId="216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 wrapText="1"/>
    </xf>
    <xf numFmtId="0" fontId="136" fillId="0" borderId="46" xfId="0" applyFont="1" applyBorder="1" applyAlignment="1">
      <alignment horizontal="center"/>
    </xf>
    <xf numFmtId="0" fontId="136" fillId="0" borderId="43" xfId="0" applyFont="1" applyBorder="1" applyAlignment="1">
      <alignment horizontal="center"/>
    </xf>
    <xf numFmtId="0" fontId="130" fillId="7" borderId="32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220" fillId="0" borderId="0" xfId="0" applyFont="1" applyAlignment="1">
      <alignment horizontal="center" vertical="center"/>
    </xf>
    <xf numFmtId="0" fontId="221" fillId="0" borderId="0" xfId="0" applyFont="1" applyAlignment="1">
      <alignment horizontal="center" vertical="center" wrapText="1"/>
    </xf>
    <xf numFmtId="0" fontId="222" fillId="0" borderId="0" xfId="0" applyFont="1" applyAlignment="1">
      <alignment horizontal="left" vertical="center"/>
    </xf>
    <xf numFmtId="14" fontId="221" fillId="0" borderId="0" xfId="0" applyNumberFormat="1" applyFont="1" applyAlignment="1">
      <alignment horizontal="center" vertical="center" wrapText="1"/>
    </xf>
    <xf numFmtId="172" fontId="48" fillId="0" borderId="0" xfId="0" applyNumberFormat="1" applyFont="1"/>
    <xf numFmtId="49" fontId="106" fillId="0" borderId="0" xfId="0" applyNumberFormat="1" applyFont="1" applyAlignment="1">
      <alignment horizontal="center" vertical="center"/>
    </xf>
    <xf numFmtId="49" fontId="128" fillId="0" borderId="0" xfId="0" applyNumberFormat="1" applyFont="1" applyAlignment="1">
      <alignment horizontal="center"/>
    </xf>
    <xf numFmtId="49" fontId="124" fillId="0" borderId="0" xfId="0" applyNumberFormat="1" applyFont="1" applyAlignment="1">
      <alignment horizontal="center" vertical="top"/>
    </xf>
    <xf numFmtId="0" fontId="1" fillId="0" borderId="0" xfId="0" applyFont="1" applyAlignment="1">
      <alignment horizontal="center" vertical="center"/>
    </xf>
    <xf numFmtId="49" fontId="171" fillId="0" borderId="0" xfId="0" applyNumberFormat="1" applyFont="1" applyAlignment="1">
      <alignment horizontal="center" vertical="center"/>
    </xf>
    <xf numFmtId="49" fontId="146" fillId="0" borderId="0" xfId="0" applyNumberFormat="1" applyFont="1" applyAlignment="1">
      <alignment horizontal="center"/>
    </xf>
    <xf numFmtId="49" fontId="119" fillId="0" borderId="0" xfId="0" applyNumberFormat="1" applyFont="1" applyAlignment="1">
      <alignment horizontal="center" vertical="top"/>
    </xf>
    <xf numFmtId="49" fontId="106" fillId="0" borderId="0" xfId="0" applyNumberFormat="1" applyFont="1" applyAlignment="1">
      <alignment vertical="center"/>
    </xf>
    <xf numFmtId="167" fontId="101" fillId="0" borderId="57" xfId="0" applyNumberFormat="1" applyFont="1" applyBorder="1" applyAlignment="1">
      <alignment horizontal="center" vertical="center"/>
    </xf>
    <xf numFmtId="49" fontId="38" fillId="0" borderId="0" xfId="0" applyNumberFormat="1" applyFont="1" applyAlignment="1">
      <alignment vertical="center"/>
    </xf>
    <xf numFmtId="171" fontId="80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/>
    </xf>
    <xf numFmtId="168" fontId="38" fillId="0" borderId="0" xfId="0" applyNumberFormat="1" applyFont="1" applyAlignment="1">
      <alignment horizontal="center" vertical="center"/>
    </xf>
    <xf numFmtId="0" fontId="83" fillId="0" borderId="0" xfId="0" applyFont="1" applyAlignment="1">
      <alignment horizontal="left" vertical="center"/>
    </xf>
    <xf numFmtId="0" fontId="83" fillId="0" borderId="0" xfId="0" applyFont="1" applyAlignment="1">
      <alignment vertical="center"/>
    </xf>
    <xf numFmtId="49" fontId="126" fillId="0" borderId="0" xfId="0" applyNumberFormat="1" applyFont="1" applyAlignment="1">
      <alignment vertical="center"/>
    </xf>
    <xf numFmtId="0" fontId="203" fillId="7" borderId="27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204" fillId="7" borderId="121" xfId="0" applyFont="1" applyFill="1" applyBorder="1" applyAlignment="1">
      <alignment horizontal="center" vertical="center"/>
    </xf>
    <xf numFmtId="0" fontId="204" fillId="7" borderId="44" xfId="0" applyFont="1" applyFill="1" applyBorder="1" applyAlignment="1">
      <alignment horizontal="center" vertical="center"/>
    </xf>
    <xf numFmtId="0" fontId="227" fillId="0" borderId="0" xfId="0" applyFont="1" applyAlignment="1">
      <alignment vertical="center"/>
    </xf>
    <xf numFmtId="0" fontId="155" fillId="0" borderId="0" xfId="0" applyFont="1" applyAlignment="1">
      <alignment horizontal="center"/>
    </xf>
    <xf numFmtId="49" fontId="155" fillId="7" borderId="43" xfId="0" applyNumberFormat="1" applyFont="1" applyFill="1" applyBorder="1" applyAlignment="1">
      <alignment horizontal="center" vertical="center"/>
    </xf>
    <xf numFmtId="49" fontId="204" fillId="7" borderId="44" xfId="0" applyNumberFormat="1" applyFont="1" applyFill="1" applyBorder="1" applyAlignment="1">
      <alignment horizontal="center" vertical="center"/>
    </xf>
    <xf numFmtId="49" fontId="53" fillId="0" borderId="0" xfId="0" applyNumberFormat="1" applyFont="1" applyAlignment="1">
      <alignment vertical="center"/>
    </xf>
    <xf numFmtId="0" fontId="39" fillId="0" borderId="17" xfId="0" applyFont="1" applyBorder="1" applyAlignment="1">
      <alignment horizontal="center" vertical="center"/>
    </xf>
    <xf numFmtId="0" fontId="49" fillId="0" borderId="17" xfId="0" applyFont="1" applyBorder="1" applyAlignment="1">
      <alignment vertical="center"/>
    </xf>
    <xf numFmtId="0" fontId="49" fillId="0" borderId="17" xfId="0" applyFont="1" applyBorder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0" fontId="39" fillId="0" borderId="0" xfId="0" applyFont="1" applyAlignment="1">
      <alignment vertical="center" wrapText="1"/>
    </xf>
    <xf numFmtId="49" fontId="39" fillId="0" borderId="0" xfId="0" applyNumberFormat="1" applyFont="1" applyAlignment="1">
      <alignment horizontal="left" vertical="center" wrapText="1"/>
    </xf>
    <xf numFmtId="0" fontId="229" fillId="0" borderId="0" xfId="1" applyFont="1" applyBorder="1" applyAlignment="1">
      <alignment horizontal="left" vertical="center" wrapText="1"/>
    </xf>
    <xf numFmtId="171" fontId="49" fillId="0" borderId="0" xfId="0" applyNumberFormat="1" applyFont="1" applyAlignment="1">
      <alignment vertical="center" wrapText="1"/>
    </xf>
    <xf numFmtId="49" fontId="136" fillId="7" borderId="43" xfId="0" applyNumberFormat="1" applyFont="1" applyFill="1" applyBorder="1" applyAlignment="1">
      <alignment horizontal="center" vertical="center" wrapText="1"/>
    </xf>
    <xf numFmtId="0" fontId="204" fillId="7" borderId="44" xfId="0" applyFont="1" applyFill="1" applyBorder="1" applyAlignment="1">
      <alignment horizontal="center" vertical="center" wrapText="1"/>
    </xf>
    <xf numFmtId="49" fontId="39" fillId="0" borderId="0" xfId="0" quotePrefix="1" applyNumberFormat="1" applyFont="1" applyAlignment="1">
      <alignment horizontal="left" vertical="center" wrapText="1"/>
    </xf>
    <xf numFmtId="0" fontId="229" fillId="0" borderId="0" xfId="1" applyFont="1" applyFill="1" applyBorder="1" applyAlignment="1">
      <alignment horizontal="left" vertical="center" wrapText="1"/>
    </xf>
    <xf numFmtId="0" fontId="9" fillId="0" borderId="40" xfId="0" applyFont="1" applyBorder="1" applyAlignment="1">
      <alignment horizontal="left" vertical="center"/>
    </xf>
    <xf numFmtId="0" fontId="38" fillId="0" borderId="40" xfId="0" applyFont="1" applyBorder="1" applyAlignment="1">
      <alignment horizontal="center" vertical="center"/>
    </xf>
    <xf numFmtId="0" fontId="42" fillId="0" borderId="40" xfId="0" applyFont="1" applyBorder="1" applyAlignment="1">
      <alignment vertical="center"/>
    </xf>
    <xf numFmtId="0" fontId="155" fillId="7" borderId="27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230" fillId="0" borderId="0" xfId="0" applyFont="1" applyAlignment="1">
      <alignment vertical="center"/>
    </xf>
    <xf numFmtId="0" fontId="230" fillId="0" borderId="0" xfId="0" applyFont="1" applyAlignment="1">
      <alignment horizontal="center" vertical="center"/>
    </xf>
    <xf numFmtId="0" fontId="231" fillId="0" borderId="0" xfId="0" applyFont="1" applyAlignment="1">
      <alignment horizontal="center" vertical="center"/>
    </xf>
    <xf numFmtId="0" fontId="211" fillId="0" borderId="0" xfId="0" applyFont="1" applyAlignment="1">
      <alignment horizontal="left" vertical="center"/>
    </xf>
    <xf numFmtId="14" fontId="77" fillId="0" borderId="0" xfId="0" applyNumberFormat="1" applyFont="1"/>
    <xf numFmtId="3" fontId="49" fillId="0" borderId="0" xfId="0" applyNumberFormat="1" applyFont="1" applyAlignment="1">
      <alignment vertical="center"/>
    </xf>
    <xf numFmtId="0" fontId="233" fillId="0" borderId="40" xfId="0" applyFont="1" applyBorder="1" applyAlignment="1">
      <alignment horizontal="center" vertical="center"/>
    </xf>
    <xf numFmtId="0" fontId="49" fillId="0" borderId="117" xfId="0" applyFont="1" applyBorder="1" applyAlignment="1">
      <alignment horizontal="center" vertical="center"/>
    </xf>
    <xf numFmtId="0" fontId="49" fillId="0" borderId="103" xfId="0" applyFont="1" applyBorder="1" applyAlignment="1">
      <alignment horizontal="left" vertical="center"/>
    </xf>
    <xf numFmtId="0" fontId="155" fillId="0" borderId="110" xfId="0" applyFont="1" applyBorder="1" applyAlignment="1">
      <alignment horizontal="center"/>
    </xf>
    <xf numFmtId="0" fontId="234" fillId="0" borderId="110" xfId="0" applyFont="1" applyBorder="1" applyAlignment="1">
      <alignment horizontal="center"/>
    </xf>
    <xf numFmtId="0" fontId="234" fillId="0" borderId="0" xfId="0" applyFont="1" applyAlignment="1">
      <alignment horizontal="center" vertical="center"/>
    </xf>
    <xf numFmtId="0" fontId="136" fillId="0" borderId="43" xfId="0" applyFont="1" applyBorder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181" fillId="5" borderId="124" xfId="0" applyFont="1" applyFill="1" applyBorder="1" applyAlignment="1">
      <alignment vertical="center"/>
    </xf>
    <xf numFmtId="0" fontId="181" fillId="5" borderId="125" xfId="0" applyFont="1" applyFill="1" applyBorder="1" applyAlignment="1">
      <alignment vertical="center"/>
    </xf>
    <xf numFmtId="0" fontId="181" fillId="5" borderId="126" xfId="0" applyFont="1" applyFill="1" applyBorder="1" applyAlignment="1">
      <alignment vertical="center"/>
    </xf>
    <xf numFmtId="0" fontId="181" fillId="5" borderId="127" xfId="0" applyFont="1" applyFill="1" applyBorder="1" applyAlignment="1">
      <alignment horizontal="center" vertical="center"/>
    </xf>
    <xf numFmtId="0" fontId="181" fillId="5" borderId="0" xfId="0" applyFont="1" applyFill="1" applyAlignment="1">
      <alignment horizontal="center" vertical="center"/>
    </xf>
    <xf numFmtId="0" fontId="181" fillId="5" borderId="128" xfId="0" applyFont="1" applyFill="1" applyBorder="1" applyAlignment="1">
      <alignment horizontal="center" vertical="center"/>
    </xf>
    <xf numFmtId="0" fontId="44" fillId="5" borderId="127" xfId="0" applyFont="1" applyFill="1" applyBorder="1"/>
    <xf numFmtId="0" fontId="44" fillId="5" borderId="0" xfId="0" applyFont="1" applyFill="1"/>
    <xf numFmtId="0" fontId="39" fillId="5" borderId="128" xfId="0" applyFont="1" applyFill="1" applyBorder="1" applyAlignment="1">
      <alignment horizontal="center" vertical="center"/>
    </xf>
    <xf numFmtId="0" fontId="44" fillId="5" borderId="127" xfId="0" applyFont="1" applyFill="1" applyBorder="1" applyAlignment="1">
      <alignment horizontal="center" vertical="center"/>
    </xf>
    <xf numFmtId="0" fontId="204" fillId="5" borderId="0" xfId="0" applyFont="1" applyFill="1" applyAlignment="1">
      <alignment horizontal="center" vertical="center"/>
    </xf>
    <xf numFmtId="0" fontId="204" fillId="5" borderId="128" xfId="0" applyFont="1" applyFill="1" applyBorder="1" applyAlignment="1">
      <alignment horizontal="center" vertical="center"/>
    </xf>
    <xf numFmtId="0" fontId="39" fillId="5" borderId="127" xfId="0" applyFont="1" applyFill="1" applyBorder="1" applyAlignment="1">
      <alignment horizontal="center" vertical="center"/>
    </xf>
    <xf numFmtId="0" fontId="142" fillId="5" borderId="123" xfId="0" applyFont="1" applyFill="1" applyBorder="1" applyAlignment="1">
      <alignment horizontal="center" vertical="center"/>
    </xf>
    <xf numFmtId="0" fontId="119" fillId="5" borderId="128" xfId="0" applyFont="1" applyFill="1" applyBorder="1" applyAlignment="1">
      <alignment horizontal="center" vertical="center"/>
    </xf>
    <xf numFmtId="0" fontId="39" fillId="5" borderId="127" xfId="0" applyFont="1" applyFill="1" applyBorder="1"/>
    <xf numFmtId="0" fontId="124" fillId="5" borderId="0" xfId="0" applyFont="1" applyFill="1" applyAlignment="1">
      <alignment horizontal="center" vertical="center"/>
    </xf>
    <xf numFmtId="0" fontId="119" fillId="5" borderId="128" xfId="0" applyFont="1" applyFill="1" applyBorder="1"/>
    <xf numFmtId="0" fontId="39" fillId="5" borderId="129" xfId="0" applyFont="1" applyFill="1" applyBorder="1"/>
    <xf numFmtId="0" fontId="128" fillId="5" borderId="110" xfId="0" applyFont="1" applyFill="1" applyBorder="1" applyAlignment="1">
      <alignment horizontal="left"/>
    </xf>
    <xf numFmtId="0" fontId="128" fillId="5" borderId="110" xfId="0" applyFont="1" applyFill="1" applyBorder="1" applyAlignment="1">
      <alignment horizontal="center" vertical="center"/>
    </xf>
    <xf numFmtId="14" fontId="97" fillId="5" borderId="123" xfId="0" applyNumberFormat="1" applyFont="1" applyFill="1" applyBorder="1" applyAlignment="1">
      <alignment horizontal="left" vertical="center"/>
    </xf>
    <xf numFmtId="0" fontId="139" fillId="5" borderId="123" xfId="0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130" fillId="5" borderId="128" xfId="0" applyFont="1" applyFill="1" applyBorder="1"/>
    <xf numFmtId="0" fontId="48" fillId="5" borderId="123" xfId="0" applyFont="1" applyFill="1" applyBorder="1" applyAlignment="1">
      <alignment horizontal="left" vertical="center"/>
    </xf>
    <xf numFmtId="0" fontId="39" fillId="5" borderId="128" xfId="0" applyFont="1" applyFill="1" applyBorder="1"/>
    <xf numFmtId="0" fontId="48" fillId="5" borderId="123" xfId="0" applyFont="1" applyFill="1" applyBorder="1" applyAlignment="1">
      <alignment vertical="center"/>
    </xf>
    <xf numFmtId="0" fontId="49" fillId="5" borderId="123" xfId="0" applyFont="1" applyFill="1" applyBorder="1" applyAlignment="1">
      <alignment horizontal="left" vertical="center"/>
    </xf>
    <xf numFmtId="0" fontId="128" fillId="5" borderId="0" xfId="0" applyFont="1" applyFill="1" applyAlignment="1">
      <alignment horizontal="left"/>
    </xf>
    <xf numFmtId="0" fontId="39" fillId="5" borderId="0" xfId="0" applyFont="1" applyFill="1"/>
    <xf numFmtId="0" fontId="44" fillId="5" borderId="131" xfId="0" applyFont="1" applyFill="1" applyBorder="1"/>
    <xf numFmtId="0" fontId="0" fillId="5" borderId="132" xfId="0" applyFill="1" applyBorder="1"/>
    <xf numFmtId="178" fontId="49" fillId="5" borderId="132" xfId="0" applyNumberFormat="1" applyFont="1" applyFill="1" applyBorder="1" applyAlignment="1">
      <alignment horizontal="left" vertical="top"/>
    </xf>
    <xf numFmtId="0" fontId="44" fillId="5" borderId="132" xfId="0" applyFont="1" applyFill="1" applyBorder="1"/>
    <xf numFmtId="0" fontId="44" fillId="5" borderId="133" xfId="0" applyFont="1" applyFill="1" applyBorder="1"/>
    <xf numFmtId="0" fontId="120" fillId="0" borderId="0" xfId="0" applyFont="1" applyAlignment="1">
      <alignment horizontal="center" vertical="center"/>
    </xf>
    <xf numFmtId="0" fontId="129" fillId="7" borderId="121" xfId="0" applyFont="1" applyFill="1" applyBorder="1" applyAlignment="1">
      <alignment horizontal="center"/>
    </xf>
    <xf numFmtId="1" fontId="127" fillId="7" borderId="40" xfId="0" applyNumberFormat="1" applyFont="1" applyFill="1" applyBorder="1" applyAlignment="1">
      <alignment horizontal="center" vertical="center"/>
    </xf>
    <xf numFmtId="0" fontId="127" fillId="7" borderId="40" xfId="0" applyFont="1" applyFill="1" applyBorder="1" applyAlignment="1">
      <alignment horizontal="center" vertical="center"/>
    </xf>
    <xf numFmtId="0" fontId="124" fillId="7" borderId="40" xfId="0" applyFont="1" applyFill="1" applyBorder="1" applyAlignment="1">
      <alignment horizontal="center" vertical="center"/>
    </xf>
    <xf numFmtId="49" fontId="124" fillId="7" borderId="40" xfId="0" applyNumberFormat="1" applyFont="1" applyFill="1" applyBorder="1" applyAlignment="1">
      <alignment horizontal="center" vertical="center"/>
    </xf>
    <xf numFmtId="0" fontId="97" fillId="0" borderId="122" xfId="0" applyFont="1" applyBorder="1" applyAlignment="1">
      <alignment vertical="center"/>
    </xf>
    <xf numFmtId="0" fontId="49" fillId="0" borderId="134" xfId="0" applyFont="1" applyBorder="1" applyAlignment="1">
      <alignment horizontal="center" vertical="center"/>
    </xf>
    <xf numFmtId="0" fontId="1" fillId="0" borderId="134" xfId="0" applyFont="1" applyBorder="1" applyAlignment="1">
      <alignment horizontal="center" vertical="center"/>
    </xf>
    <xf numFmtId="49" fontId="53" fillId="0" borderId="0" xfId="0" applyNumberFormat="1" applyFont="1" applyAlignment="1">
      <alignment horizontal="center" vertical="center"/>
    </xf>
    <xf numFmtId="0" fontId="146" fillId="5" borderId="27" xfId="0" applyFont="1" applyFill="1" applyBorder="1" applyAlignment="1">
      <alignment horizontal="center" vertical="center"/>
    </xf>
    <xf numFmtId="0" fontId="119" fillId="5" borderId="121" xfId="0" applyFont="1" applyFill="1" applyBorder="1" applyAlignment="1">
      <alignment horizontal="center" vertical="top"/>
    </xf>
    <xf numFmtId="177" fontId="49" fillId="0" borderId="101" xfId="0" applyNumberFormat="1" applyFont="1" applyBorder="1" applyAlignment="1">
      <alignment horizontal="center" vertical="center"/>
    </xf>
    <xf numFmtId="0" fontId="235" fillId="0" borderId="101" xfId="0" applyFont="1" applyBorder="1" applyAlignment="1">
      <alignment horizontal="center" vertical="center"/>
    </xf>
    <xf numFmtId="0" fontId="236" fillId="0" borderId="101" xfId="0" applyFont="1" applyBorder="1" applyAlignment="1">
      <alignment horizontal="center" vertical="center"/>
    </xf>
    <xf numFmtId="0" fontId="142" fillId="7" borderId="40" xfId="0" applyFont="1" applyFill="1" applyBorder="1" applyAlignment="1">
      <alignment horizontal="center" vertical="center"/>
    </xf>
    <xf numFmtId="0" fontId="142" fillId="7" borderId="40" xfId="0" applyFont="1" applyFill="1" applyBorder="1"/>
    <xf numFmtId="49" fontId="42" fillId="0" borderId="0" xfId="0" applyNumberFormat="1" applyFont="1"/>
    <xf numFmtId="49" fontId="42" fillId="0" borderId="40" xfId="0" applyNumberFormat="1" applyFont="1" applyBorder="1"/>
    <xf numFmtId="172" fontId="124" fillId="7" borderId="44" xfId="0" applyNumberFormat="1" applyFont="1" applyFill="1" applyBorder="1" applyAlignment="1">
      <alignment horizontal="center" vertical="center"/>
    </xf>
    <xf numFmtId="49" fontId="124" fillId="7" borderId="79" xfId="0" applyNumberFormat="1" applyFont="1" applyFill="1" applyBorder="1" applyAlignment="1">
      <alignment horizontal="center" vertical="center"/>
    </xf>
    <xf numFmtId="49" fontId="185" fillId="0" borderId="0" xfId="0" applyNumberFormat="1" applyFont="1"/>
    <xf numFmtId="0" fontId="238" fillId="0" borderId="40" xfId="0" applyFont="1" applyBorder="1" applyAlignment="1">
      <alignment horizontal="center" vertical="center"/>
    </xf>
    <xf numFmtId="0" fontId="238" fillId="0" borderId="40" xfId="0" applyFont="1" applyBorder="1" applyAlignment="1">
      <alignment horizontal="center" vertical="center" wrapText="1"/>
    </xf>
    <xf numFmtId="0" fontId="238" fillId="0" borderId="40" xfId="0" applyFont="1" applyBorder="1" applyAlignment="1">
      <alignment horizontal="left" vertical="center" wrapText="1"/>
    </xf>
    <xf numFmtId="0" fontId="39" fillId="0" borderId="40" xfId="0" applyFont="1" applyBorder="1" applyAlignment="1">
      <alignment horizontal="center"/>
    </xf>
    <xf numFmtId="49" fontId="239" fillId="7" borderId="44" xfId="0" applyNumberFormat="1" applyFont="1" applyFill="1" applyBorder="1" applyAlignment="1">
      <alignment horizontal="center" vertical="top"/>
    </xf>
    <xf numFmtId="49" fontId="119" fillId="7" borderId="44" xfId="0" applyNumberFormat="1" applyFont="1" applyFill="1" applyBorder="1" applyAlignment="1">
      <alignment horizontal="center" vertical="center"/>
    </xf>
    <xf numFmtId="49" fontId="155" fillId="7" borderId="43" xfId="0" applyNumberFormat="1" applyFont="1" applyFill="1" applyBorder="1" applyAlignment="1">
      <alignment horizontal="center"/>
    </xf>
    <xf numFmtId="49" fontId="146" fillId="7" borderId="43" xfId="0" applyNumberFormat="1" applyFont="1" applyFill="1" applyBorder="1" applyAlignment="1">
      <alignment horizontal="center" vertical="center"/>
    </xf>
    <xf numFmtId="0" fontId="197" fillId="0" borderId="0" xfId="0" applyFont="1"/>
    <xf numFmtId="0" fontId="240" fillId="0" borderId="0" xfId="0" applyFont="1"/>
    <xf numFmtId="49" fontId="48" fillId="5" borderId="0" xfId="0" applyNumberFormat="1" applyFont="1" applyFill="1" applyAlignment="1">
      <alignment vertical="top" wrapText="1"/>
    </xf>
    <xf numFmtId="0" fontId="166" fillId="0" borderId="0" xfId="0" applyFont="1" applyAlignment="1">
      <alignment vertical="center"/>
    </xf>
    <xf numFmtId="0" fontId="146" fillId="7" borderId="43" xfId="0" applyFont="1" applyFill="1" applyBorder="1" applyAlignment="1">
      <alignment horizontal="center" vertical="center"/>
    </xf>
    <xf numFmtId="0" fontId="239" fillId="7" borderId="44" xfId="0" applyFont="1" applyFill="1" applyBorder="1" applyAlignment="1">
      <alignment horizontal="center" vertical="top"/>
    </xf>
    <xf numFmtId="0" fontId="155" fillId="7" borderId="43" xfId="0" applyFont="1" applyFill="1" applyBorder="1" applyAlignment="1">
      <alignment horizontal="center" vertical="center"/>
    </xf>
    <xf numFmtId="0" fontId="155" fillId="7" borderId="43" xfId="0" applyFont="1" applyFill="1" applyBorder="1" applyAlignment="1">
      <alignment horizontal="center"/>
    </xf>
    <xf numFmtId="0" fontId="119" fillId="7" borderId="44" xfId="0" applyFont="1" applyFill="1" applyBorder="1" applyAlignment="1">
      <alignment horizontal="center" vertical="center"/>
    </xf>
    <xf numFmtId="0" fontId="126" fillId="0" borderId="0" xfId="0" applyFont="1" applyAlignment="1">
      <alignment vertical="center"/>
    </xf>
    <xf numFmtId="0" fontId="185" fillId="0" borderId="0" xfId="0" applyFont="1"/>
    <xf numFmtId="0" fontId="124" fillId="7" borderId="79" xfId="0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9" fillId="0" borderId="40" xfId="0" applyFont="1" applyBorder="1" applyAlignment="1">
      <alignment horizontal="left" vertical="center"/>
    </xf>
    <xf numFmtId="0" fontId="127" fillId="4" borderId="40" xfId="0" applyFont="1" applyFill="1" applyBorder="1" applyAlignment="1">
      <alignment horizontal="left" vertical="center"/>
    </xf>
    <xf numFmtId="0" fontId="160" fillId="7" borderId="33" xfId="0" applyFont="1" applyFill="1" applyBorder="1" applyAlignment="1">
      <alignment horizontal="center"/>
    </xf>
    <xf numFmtId="0" fontId="46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75" fillId="0" borderId="0" xfId="0" applyFont="1" applyAlignment="1">
      <alignment vertical="center"/>
    </xf>
    <xf numFmtId="0" fontId="175" fillId="0" borderId="0" xfId="0" applyFont="1" applyAlignment="1">
      <alignment horizontal="center" vertical="center"/>
    </xf>
    <xf numFmtId="172" fontId="48" fillId="0" borderId="0" xfId="0" applyNumberFormat="1" applyFont="1" applyAlignment="1">
      <alignment horizontal="center"/>
    </xf>
    <xf numFmtId="0" fontId="211" fillId="0" borderId="0" xfId="0" applyFont="1" applyAlignment="1">
      <alignment horizontal="center" vertical="center"/>
    </xf>
    <xf numFmtId="0" fontId="39" fillId="4" borderId="96" xfId="0" applyFont="1" applyFill="1" applyBorder="1" applyAlignment="1">
      <alignment horizontal="center" vertical="center"/>
    </xf>
    <xf numFmtId="0" fontId="107" fillId="0" borderId="0" xfId="0" applyFont="1"/>
    <xf numFmtId="0" fontId="208" fillId="9" borderId="136" xfId="0" applyFont="1" applyFill="1" applyBorder="1" applyAlignment="1">
      <alignment horizontal="center"/>
    </xf>
    <xf numFmtId="0" fontId="117" fillId="9" borderId="136" xfId="0" applyFont="1" applyFill="1" applyBorder="1" applyAlignment="1">
      <alignment horizontal="center" vertical="top"/>
    </xf>
    <xf numFmtId="0" fontId="208" fillId="0" borderId="0" xfId="0" applyFont="1"/>
    <xf numFmtId="0" fontId="117" fillId="0" borderId="0" xfId="0" applyFont="1" applyAlignment="1">
      <alignment vertical="top"/>
    </xf>
    <xf numFmtId="0" fontId="9" fillId="0" borderId="96" xfId="0" applyFont="1" applyBorder="1" applyAlignment="1">
      <alignment horizontal="center" vertical="center" wrapText="1"/>
    </xf>
    <xf numFmtId="0" fontId="129" fillId="7" borderId="27" xfId="0" applyFont="1" applyFill="1" applyBorder="1" applyAlignment="1">
      <alignment horizontal="center" vertical="center" wrapText="1"/>
    </xf>
    <xf numFmtId="0" fontId="129" fillId="7" borderId="27" xfId="0" applyFont="1" applyFill="1" applyBorder="1" applyAlignment="1">
      <alignment horizontal="center" vertical="center"/>
    </xf>
    <xf numFmtId="0" fontId="177" fillId="0" borderId="0" xfId="0" applyFont="1" applyAlignment="1">
      <alignment horizontal="right" vertical="center"/>
    </xf>
    <xf numFmtId="0" fontId="129" fillId="7" borderId="27" xfId="0" applyFont="1" applyFill="1" applyBorder="1" applyAlignment="1">
      <alignment horizontal="right" vertical="center"/>
    </xf>
    <xf numFmtId="0" fontId="130" fillId="7" borderId="31" xfId="0" applyFont="1" applyFill="1" applyBorder="1" applyAlignment="1">
      <alignment horizontal="right" vertical="center"/>
    </xf>
    <xf numFmtId="171" fontId="39" fillId="0" borderId="96" xfId="0" applyNumberFormat="1" applyFont="1" applyBorder="1" applyAlignment="1">
      <alignment horizontal="right" vertical="center"/>
    </xf>
    <xf numFmtId="22" fontId="0" fillId="0" borderId="0" xfId="0" applyNumberFormat="1" applyAlignment="1">
      <alignment horizontal="center" vertical="center"/>
    </xf>
    <xf numFmtId="0" fontId="187" fillId="0" borderId="0" xfId="0" applyFont="1" applyAlignment="1">
      <alignment vertical="center"/>
    </xf>
    <xf numFmtId="0" fontId="130" fillId="0" borderId="48" xfId="0" applyFont="1" applyBorder="1" applyAlignment="1">
      <alignment horizontal="center" vertical="top"/>
    </xf>
    <xf numFmtId="0" fontId="130" fillId="0" borderId="79" xfId="0" applyFont="1" applyBorder="1" applyAlignment="1">
      <alignment horizontal="center" vertical="top"/>
    </xf>
    <xf numFmtId="0" fontId="176" fillId="0" borderId="79" xfId="0" applyFont="1" applyBorder="1" applyAlignment="1">
      <alignment horizontal="center" vertical="center"/>
    </xf>
    <xf numFmtId="0" fontId="44" fillId="0" borderId="28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2" xfId="0" applyFont="1" applyBorder="1" applyAlignment="1">
      <alignment horizontal="center" vertical="center" wrapText="1"/>
    </xf>
    <xf numFmtId="0" fontId="17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168" fontId="106" fillId="0" borderId="0" xfId="0" applyNumberFormat="1" applyFont="1" applyAlignment="1">
      <alignment horizontal="center" vertical="center"/>
    </xf>
    <xf numFmtId="0" fontId="97" fillId="0" borderId="0" xfId="0" applyFont="1" applyAlignment="1">
      <alignment vertical="center"/>
    </xf>
    <xf numFmtId="0" fontId="1" fillId="0" borderId="40" xfId="0" applyFont="1" applyBorder="1"/>
    <xf numFmtId="0" fontId="241" fillId="0" borderId="0" xfId="0" applyFont="1" applyAlignment="1">
      <alignment horizontal="center" vertical="center"/>
    </xf>
    <xf numFmtId="0" fontId="102" fillId="0" borderId="96" xfId="0" applyFont="1" applyBorder="1" applyAlignment="1">
      <alignment horizontal="center"/>
    </xf>
    <xf numFmtId="0" fontId="102" fillId="0" borderId="96" xfId="0" applyFont="1" applyBorder="1" applyAlignment="1">
      <alignment horizontal="center" vertical="center"/>
    </xf>
    <xf numFmtId="0" fontId="187" fillId="0" borderId="0" xfId="0" applyFont="1" applyAlignment="1">
      <alignment horizontal="center" vertical="center"/>
    </xf>
    <xf numFmtId="169" fontId="78" fillId="0" borderId="0" xfId="0" applyNumberFormat="1" applyFont="1" applyAlignment="1">
      <alignment horizontal="left" vertical="center"/>
    </xf>
    <xf numFmtId="169" fontId="39" fillId="0" borderId="0" xfId="0" applyNumberFormat="1" applyFont="1" applyAlignment="1">
      <alignment horizontal="right" vertical="center"/>
    </xf>
    <xf numFmtId="169" fontId="126" fillId="0" borderId="0" xfId="0" applyNumberFormat="1" applyFont="1" applyAlignment="1">
      <alignment vertical="center"/>
    </xf>
    <xf numFmtId="169" fontId="155" fillId="7" borderId="27" xfId="0" applyNumberFormat="1" applyFont="1" applyFill="1" applyBorder="1" applyAlignment="1">
      <alignment horizontal="center" vertical="center"/>
    </xf>
    <xf numFmtId="169" fontId="204" fillId="7" borderId="121" xfId="0" applyNumberFormat="1" applyFont="1" applyFill="1" applyBorder="1" applyAlignment="1">
      <alignment horizontal="center" vertical="center"/>
    </xf>
    <xf numFmtId="169" fontId="78" fillId="0" borderId="40" xfId="0" applyNumberFormat="1" applyFont="1" applyBorder="1" applyAlignment="1">
      <alignment horizontal="left" vertical="center"/>
    </xf>
    <xf numFmtId="169" fontId="39" fillId="0" borderId="40" xfId="0" applyNumberFormat="1" applyFont="1" applyBorder="1" applyAlignment="1">
      <alignment horizontal="right" vertical="center"/>
    </xf>
    <xf numFmtId="169" fontId="39" fillId="0" borderId="40" xfId="0" applyNumberFormat="1" applyFont="1" applyBorder="1" applyAlignment="1">
      <alignment horizontal="left" vertical="center"/>
    </xf>
    <xf numFmtId="169" fontId="39" fillId="0" borderId="0" xfId="0" applyNumberFormat="1" applyFont="1" applyAlignment="1">
      <alignment horizontal="left" vertical="center"/>
    </xf>
    <xf numFmtId="0" fontId="9" fillId="0" borderId="40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2" fontId="97" fillId="0" borderId="137" xfId="0" applyNumberFormat="1" applyFont="1" applyBorder="1" applyAlignment="1">
      <alignment horizontal="right" vertical="center"/>
    </xf>
    <xf numFmtId="2" fontId="44" fillId="0" borderId="0" xfId="0" applyNumberFormat="1" applyFont="1"/>
    <xf numFmtId="2" fontId="181" fillId="0" borderId="0" xfId="0" applyNumberFormat="1" applyFont="1" applyAlignment="1">
      <alignment vertical="center"/>
    </xf>
    <xf numFmtId="2" fontId="181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39" fillId="0" borderId="110" xfId="0" applyNumberFormat="1" applyFont="1" applyBorder="1"/>
    <xf numFmtId="2" fontId="49" fillId="0" borderId="0" xfId="0" applyNumberFormat="1" applyFont="1" applyAlignment="1">
      <alignment horizontal="right" vertical="center"/>
    </xf>
    <xf numFmtId="2" fontId="234" fillId="0" borderId="0" xfId="0" applyNumberFormat="1" applyFont="1" applyAlignment="1">
      <alignment horizontal="center" vertical="center"/>
    </xf>
    <xf numFmtId="3" fontId="9" fillId="0" borderId="0" xfId="0" applyNumberFormat="1" applyFont="1"/>
    <xf numFmtId="0" fontId="243" fillId="0" borderId="0" xfId="0" applyFont="1" applyAlignment="1">
      <alignment vertical="center"/>
    </xf>
    <xf numFmtId="0" fontId="243" fillId="0" borderId="0" xfId="0" applyFont="1" applyAlignment="1">
      <alignment horizontal="center" vertical="center"/>
    </xf>
    <xf numFmtId="168" fontId="7" fillId="0" borderId="0" xfId="0" applyNumberFormat="1" applyFont="1"/>
    <xf numFmtId="168" fontId="7" fillId="0" borderId="0" xfId="0" applyNumberFormat="1" applyFont="1" applyAlignment="1">
      <alignment horizontal="center" vertical="center"/>
    </xf>
    <xf numFmtId="168" fontId="9" fillId="0" borderId="110" xfId="0" applyNumberFormat="1" applyFont="1" applyBorder="1"/>
    <xf numFmtId="3" fontId="171" fillId="0" borderId="0" xfId="0" applyNumberFormat="1" applyFont="1" applyAlignment="1">
      <alignment horizontal="center" vertical="center"/>
    </xf>
    <xf numFmtId="0" fontId="102" fillId="0" borderId="0" xfId="0" applyFont="1" applyAlignment="1">
      <alignment horizontal="left"/>
    </xf>
    <xf numFmtId="0" fontId="9" fillId="0" borderId="110" xfId="0" applyFont="1" applyBorder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2" fillId="0" borderId="137" xfId="0" applyFont="1" applyBorder="1" applyAlignment="1">
      <alignment horizontal="right" vertical="center"/>
    </xf>
    <xf numFmtId="2" fontId="48" fillId="0" borderId="137" xfId="0" applyNumberFormat="1" applyFont="1" applyBorder="1" applyAlignment="1">
      <alignment horizontal="right" vertical="center"/>
    </xf>
    <xf numFmtId="1" fontId="39" fillId="7" borderId="0" xfId="0" applyNumberFormat="1" applyFont="1" applyFill="1" applyAlignment="1">
      <alignment horizontal="center" vertical="center"/>
    </xf>
    <xf numFmtId="49" fontId="128" fillId="7" borderId="43" xfId="0" applyNumberFormat="1" applyFont="1" applyFill="1" applyBorder="1" applyAlignment="1">
      <alignment horizontal="left" vertical="center"/>
    </xf>
    <xf numFmtId="49" fontId="130" fillId="7" borderId="44" xfId="0" applyNumberFormat="1" applyFont="1" applyFill="1" applyBorder="1" applyAlignment="1">
      <alignment horizontal="left" vertical="center"/>
    </xf>
    <xf numFmtId="0" fontId="169" fillId="0" borderId="0" xfId="0" applyFont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165" fillId="0" borderId="43" xfId="0" applyFont="1" applyBorder="1" applyAlignment="1">
      <alignment horizontal="center" vertical="center"/>
    </xf>
    <xf numFmtId="0" fontId="39" fillId="0" borderId="78" xfId="0" applyFont="1" applyBorder="1" applyAlignment="1">
      <alignment horizontal="center" vertical="center"/>
    </xf>
    <xf numFmtId="0" fontId="44" fillId="11" borderId="0" xfId="0" applyFont="1" applyFill="1" applyAlignment="1">
      <alignment horizontal="center" vertical="center"/>
    </xf>
    <xf numFmtId="22" fontId="39" fillId="0" borderId="0" xfId="0" applyNumberFormat="1" applyFont="1"/>
    <xf numFmtId="179" fontId="241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2" fontId="102" fillId="0" borderId="0" xfId="0" applyNumberFormat="1" applyFont="1" applyAlignment="1">
      <alignment horizontal="right" vertical="center" wrapText="1"/>
    </xf>
    <xf numFmtId="2" fontId="129" fillId="7" borderId="27" xfId="0" applyNumberFormat="1" applyFont="1" applyFill="1" applyBorder="1" applyAlignment="1">
      <alignment horizontal="right" vertical="center"/>
    </xf>
    <xf numFmtId="2" fontId="130" fillId="7" borderId="31" xfId="0" applyNumberFormat="1" applyFont="1" applyFill="1" applyBorder="1" applyAlignment="1">
      <alignment horizontal="right" vertical="center"/>
    </xf>
    <xf numFmtId="2" fontId="39" fillId="0" borderId="96" xfId="0" applyNumberFormat="1" applyFont="1" applyBorder="1" applyAlignment="1">
      <alignment horizontal="right" vertical="center"/>
    </xf>
    <xf numFmtId="2" fontId="177" fillId="0" borderId="0" xfId="0" applyNumberFormat="1" applyFont="1" applyAlignment="1">
      <alignment horizontal="right" vertical="center"/>
    </xf>
    <xf numFmtId="2" fontId="129" fillId="7" borderId="27" xfId="0" applyNumberFormat="1" applyFont="1" applyFill="1" applyBorder="1" applyAlignment="1">
      <alignment horizontal="center" vertical="center"/>
    </xf>
    <xf numFmtId="2" fontId="130" fillId="7" borderId="31" xfId="0" applyNumberFormat="1" applyFont="1" applyFill="1" applyBorder="1" applyAlignment="1">
      <alignment horizontal="center" vertical="center"/>
    </xf>
    <xf numFmtId="2" fontId="42" fillId="0" borderId="96" xfId="0" applyNumberFormat="1" applyFont="1" applyBorder="1" applyAlignment="1">
      <alignment horizontal="right" vertical="center"/>
    </xf>
    <xf numFmtId="0" fontId="42" fillId="0" borderId="96" xfId="0" applyFont="1" applyBorder="1" applyAlignment="1">
      <alignment horizontal="center" vertical="center"/>
    </xf>
    <xf numFmtId="0" fontId="130" fillId="7" borderId="31" xfId="0" applyFont="1" applyFill="1" applyBorder="1" applyAlignment="1">
      <alignment horizontal="center" vertical="center"/>
    </xf>
    <xf numFmtId="179" fontId="0" fillId="0" borderId="0" xfId="0" applyNumberFormat="1"/>
    <xf numFmtId="171" fontId="39" fillId="0" borderId="28" xfId="0" applyNumberFormat="1" applyFont="1" applyBorder="1" applyAlignment="1">
      <alignment horizontal="right" vertical="center"/>
    </xf>
    <xf numFmtId="2" fontId="39" fillId="0" borderId="28" xfId="0" applyNumberFormat="1" applyFont="1" applyBorder="1" applyAlignment="1">
      <alignment horizontal="right" vertical="center"/>
    </xf>
    <xf numFmtId="2" fontId="136" fillId="0" borderId="43" xfId="0" applyNumberFormat="1" applyFont="1" applyBorder="1" applyAlignment="1">
      <alignment horizontal="center"/>
    </xf>
    <xf numFmtId="2" fontId="130" fillId="0" borderId="79" xfId="0" applyNumberFormat="1" applyFont="1" applyBorder="1" applyAlignment="1">
      <alignment horizontal="center" vertical="top"/>
    </xf>
    <xf numFmtId="2" fontId="39" fillId="0" borderId="0" xfId="0" applyNumberFormat="1" applyFont="1" applyAlignment="1">
      <alignment horizontal="center" vertical="center"/>
    </xf>
    <xf numFmtId="0" fontId="120" fillId="0" borderId="40" xfId="0" applyFont="1" applyBorder="1" applyAlignment="1">
      <alignment horizontal="center" vertical="center"/>
    </xf>
    <xf numFmtId="0" fontId="235" fillId="0" borderId="0" xfId="0" applyFont="1" applyAlignment="1">
      <alignment horizontal="center" vertical="center"/>
    </xf>
    <xf numFmtId="0" fontId="71" fillId="5" borderId="123" xfId="0" applyFont="1" applyFill="1" applyBorder="1" applyAlignment="1">
      <alignment horizontal="center" vertical="center"/>
    </xf>
    <xf numFmtId="0" fontId="146" fillId="5" borderId="93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left" vertical="center"/>
    </xf>
    <xf numFmtId="0" fontId="155" fillId="0" borderId="0" xfId="0" applyFont="1"/>
    <xf numFmtId="0" fontId="236" fillId="0" borderId="0" xfId="0" applyFont="1" applyAlignment="1">
      <alignment vertical="center"/>
    </xf>
    <xf numFmtId="0" fontId="203" fillId="0" borderId="0" xfId="0" applyFont="1" applyAlignment="1">
      <alignment vertical="center"/>
    </xf>
    <xf numFmtId="0" fontId="119" fillId="5" borderId="28" xfId="0" applyFont="1" applyFill="1" applyBorder="1" applyAlignment="1">
      <alignment horizontal="center" vertical="top"/>
    </xf>
    <xf numFmtId="2" fontId="49" fillId="0" borderId="26" xfId="0" applyNumberFormat="1" applyFont="1" applyBorder="1" applyAlignment="1">
      <alignment horizontal="center" vertical="center"/>
    </xf>
    <xf numFmtId="0" fontId="49" fillId="0" borderId="0" xfId="0" applyFont="1" applyAlignment="1">
      <alignment horizontal="left"/>
    </xf>
    <xf numFmtId="0" fontId="200" fillId="0" borderId="0" xfId="0" applyFont="1"/>
    <xf numFmtId="0" fontId="49" fillId="0" borderId="94" xfId="0" applyFont="1" applyBorder="1" applyAlignment="1">
      <alignment horizontal="center" vertical="center"/>
    </xf>
    <xf numFmtId="0" fontId="119" fillId="5" borderId="31" xfId="0" applyFont="1" applyFill="1" applyBorder="1" applyAlignment="1">
      <alignment horizontal="center" vertical="top"/>
    </xf>
    <xf numFmtId="0" fontId="48" fillId="7" borderId="43" xfId="0" applyFont="1" applyFill="1" applyBorder="1" applyAlignment="1">
      <alignment horizontal="center" vertical="top"/>
    </xf>
    <xf numFmtId="0" fontId="49" fillId="0" borderId="103" xfId="0" applyFont="1" applyBorder="1" applyAlignment="1">
      <alignment vertical="center"/>
    </xf>
    <xf numFmtId="0" fontId="49" fillId="0" borderId="0" xfId="0" applyFont="1" applyAlignment="1">
      <alignment vertical="top"/>
    </xf>
    <xf numFmtId="0" fontId="49" fillId="4" borderId="112" xfId="0" applyFont="1" applyFill="1" applyBorder="1" applyAlignment="1">
      <alignment horizontal="center" vertical="center"/>
    </xf>
    <xf numFmtId="0" fontId="136" fillId="7" borderId="55" xfId="0" applyFont="1" applyFill="1" applyBorder="1" applyAlignment="1">
      <alignment horizontal="center" wrapText="1"/>
    </xf>
    <xf numFmtId="14" fontId="39" fillId="0" borderId="40" xfId="0" applyNumberFormat="1" applyFont="1" applyBorder="1" applyAlignment="1">
      <alignment horizontal="center" vertical="center" wrapText="1"/>
    </xf>
    <xf numFmtId="0" fontId="119" fillId="7" borderId="44" xfId="0" applyFont="1" applyFill="1" applyBorder="1" applyAlignment="1">
      <alignment horizontal="center" vertical="center" wrapText="1"/>
    </xf>
    <xf numFmtId="0" fontId="49" fillId="7" borderId="0" xfId="0" applyFont="1" applyFill="1"/>
    <xf numFmtId="0" fontId="106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" fontId="97" fillId="0" borderId="0" xfId="0" applyNumberFormat="1" applyFont="1" applyAlignment="1">
      <alignment horizontal="center"/>
    </xf>
    <xf numFmtId="0" fontId="80" fillId="0" borderId="138" xfId="0" applyFont="1" applyBorder="1" applyAlignment="1">
      <alignment horizontal="center" vertical="center"/>
    </xf>
    <xf numFmtId="0" fontId="80" fillId="0" borderId="139" xfId="0" applyFont="1" applyBorder="1" applyAlignment="1">
      <alignment horizontal="center" vertical="center"/>
    </xf>
    <xf numFmtId="0" fontId="4" fillId="0" borderId="0" xfId="1" applyNumberFormat="1" applyFill="1" applyBorder="1"/>
    <xf numFmtId="0" fontId="248" fillId="0" borderId="0" xfId="1" applyNumberFormat="1" applyFont="1" applyFill="1" applyBorder="1"/>
    <xf numFmtId="0" fontId="10" fillId="0" borderId="0" xfId="0" applyFont="1" applyAlignment="1">
      <alignment vertical="center"/>
    </xf>
    <xf numFmtId="0" fontId="4" fillId="0" borderId="0" xfId="1" applyNumberFormat="1" applyFill="1"/>
    <xf numFmtId="0" fontId="250" fillId="0" borderId="0" xfId="0" applyFont="1" applyAlignment="1">
      <alignment vertical="center"/>
    </xf>
    <xf numFmtId="0" fontId="251" fillId="0" borderId="0" xfId="0" applyFont="1" applyAlignment="1">
      <alignment horizontal="right"/>
    </xf>
    <xf numFmtId="0" fontId="255" fillId="0" borderId="0" xfId="0" applyFont="1"/>
    <xf numFmtId="0" fontId="259" fillId="0" borderId="0" xfId="0" applyFont="1" applyAlignment="1">
      <alignment vertical="center"/>
    </xf>
    <xf numFmtId="0" fontId="254" fillId="0" borderId="0" xfId="0" applyFont="1" applyAlignment="1">
      <alignment vertical="center"/>
    </xf>
    <xf numFmtId="0" fontId="253" fillId="0" borderId="0" xfId="0" applyFont="1"/>
    <xf numFmtId="0" fontId="260" fillId="0" borderId="0" xfId="0" applyFont="1"/>
    <xf numFmtId="0" fontId="6" fillId="0" borderId="0" xfId="2" applyNumberFormat="1" applyFont="1" applyAlignment="1">
      <alignment horizontal="center" vertical="center"/>
    </xf>
    <xf numFmtId="0" fontId="261" fillId="0" borderId="0" xfId="0" applyFont="1" applyAlignment="1">
      <alignment horizontal="left" indent="1"/>
    </xf>
    <xf numFmtId="0" fontId="262" fillId="0" borderId="142" xfId="0" applyFont="1" applyBorder="1" applyAlignment="1">
      <alignment horizontal="left" vertical="center"/>
    </xf>
    <xf numFmtId="0" fontId="6" fillId="0" borderId="142" xfId="0" applyFont="1" applyBorder="1"/>
    <xf numFmtId="0" fontId="6" fillId="0" borderId="142" xfId="0" applyFont="1" applyBorder="1" applyAlignment="1">
      <alignment horizontal="center"/>
    </xf>
    <xf numFmtId="0" fontId="0" fillId="0" borderId="142" xfId="0" applyBorder="1"/>
    <xf numFmtId="0" fontId="10" fillId="0" borderId="142" xfId="0" applyFont="1" applyBorder="1"/>
    <xf numFmtId="0" fontId="0" fillId="0" borderId="143" xfId="0" applyBorder="1"/>
    <xf numFmtId="0" fontId="0" fillId="0" borderId="145" xfId="0" applyBorder="1"/>
    <xf numFmtId="0" fontId="10" fillId="0" borderId="144" xfId="0" applyFont="1" applyBorder="1" applyAlignment="1">
      <alignment horizontal="left"/>
    </xf>
    <xf numFmtId="0" fontId="10" fillId="0" borderId="146" xfId="0" applyFont="1" applyBorder="1"/>
    <xf numFmtId="0" fontId="14" fillId="0" borderId="147" xfId="0" quotePrefix="1" applyFont="1" applyBorder="1" applyAlignment="1">
      <alignment horizontal="left"/>
    </xf>
    <xf numFmtId="0" fontId="0" fillId="0" borderId="147" xfId="0" applyBorder="1"/>
    <xf numFmtId="0" fontId="0" fillId="0" borderId="147" xfId="0" applyBorder="1" applyAlignment="1">
      <alignment horizontal="center"/>
    </xf>
    <xf numFmtId="0" fontId="10" fillId="0" borderId="147" xfId="0" applyFont="1" applyBorder="1"/>
    <xf numFmtId="0" fontId="0" fillId="0" borderId="148" xfId="0" applyBorder="1"/>
    <xf numFmtId="0" fontId="39" fillId="0" borderId="144" xfId="0" applyFont="1" applyBorder="1" applyAlignment="1">
      <alignment horizontal="left" indent="1"/>
    </xf>
    <xf numFmtId="0" fontId="267" fillId="0" borderId="0" xfId="0" applyFont="1" applyAlignment="1">
      <alignment horizontal="left" vertical="center" indent="2"/>
    </xf>
    <xf numFmtId="0" fontId="268" fillId="0" borderId="0" xfId="0" quotePrefix="1" applyFont="1" applyAlignment="1">
      <alignment horizontal="left" vertical="center" indent="2"/>
    </xf>
    <xf numFmtId="0" fontId="269" fillId="7" borderId="149" xfId="0" applyFont="1" applyFill="1" applyBorder="1" applyAlignment="1">
      <alignment horizontal="center"/>
    </xf>
    <xf numFmtId="0" fontId="39" fillId="7" borderId="150" xfId="0" applyFont="1" applyFill="1" applyBorder="1" applyAlignment="1">
      <alignment horizontal="center" vertical="top"/>
    </xf>
    <xf numFmtId="0" fontId="9" fillId="0" borderId="151" xfId="0" applyFont="1" applyBorder="1"/>
    <xf numFmtId="0" fontId="249" fillId="0" borderId="151" xfId="0" applyFont="1" applyBorder="1"/>
    <xf numFmtId="0" fontId="270" fillId="0" borderId="140" xfId="0" applyFont="1" applyBorder="1" applyAlignment="1">
      <alignment horizontal="center" vertical="center"/>
    </xf>
    <xf numFmtId="0" fontId="270" fillId="0" borderId="0" xfId="0" applyFont="1" applyAlignment="1">
      <alignment horizontal="center" vertical="center"/>
    </xf>
    <xf numFmtId="0" fontId="266" fillId="0" borderId="147" xfId="0" applyFont="1" applyBorder="1" applyAlignment="1">
      <alignment vertical="top"/>
    </xf>
    <xf numFmtId="0" fontId="266" fillId="0" borderId="148" xfId="0" applyFont="1" applyBorder="1" applyAlignment="1">
      <alignment vertical="top"/>
    </xf>
    <xf numFmtId="0" fontId="265" fillId="0" borderId="142" xfId="0" applyFont="1" applyBorder="1"/>
    <xf numFmtId="0" fontId="265" fillId="0" borderId="143" xfId="0" applyFont="1" applyBorder="1"/>
    <xf numFmtId="0" fontId="15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49" fillId="0" borderId="152" xfId="0" quotePrefix="1" applyFont="1" applyBorder="1" applyAlignment="1">
      <alignment horizontal="left" vertical="top"/>
    </xf>
    <xf numFmtId="0" fontId="80" fillId="0" borderId="0" xfId="0" applyFont="1" applyAlignment="1">
      <alignment vertical="center"/>
    </xf>
    <xf numFmtId="0" fontId="102" fillId="5" borderId="117" xfId="0" applyFont="1" applyFill="1" applyBorder="1" applyAlignment="1" applyProtection="1">
      <alignment horizontal="left" vertical="center"/>
      <protection locked="0"/>
    </xf>
    <xf numFmtId="0" fontId="102" fillId="5" borderId="103" xfId="0" applyFont="1" applyFill="1" applyBorder="1" applyAlignment="1" applyProtection="1">
      <alignment horizontal="left" vertical="center"/>
      <protection locked="0"/>
    </xf>
    <xf numFmtId="0" fontId="102" fillId="5" borderId="112" xfId="0" applyFont="1" applyFill="1" applyBorder="1" applyAlignment="1" applyProtection="1">
      <alignment horizontal="left" vertical="center"/>
      <protection locked="0"/>
    </xf>
    <xf numFmtId="0" fontId="49" fillId="5" borderId="123" xfId="0" applyFont="1" applyFill="1" applyBorder="1" applyAlignment="1" applyProtection="1">
      <alignment horizontal="center" vertical="center"/>
      <protection locked="0"/>
    </xf>
    <xf numFmtId="0" fontId="273" fillId="0" borderId="141" xfId="0" applyFont="1" applyBorder="1" applyAlignment="1">
      <alignment horizontal="left" vertical="center" indent="1"/>
    </xf>
    <xf numFmtId="0" fontId="49" fillId="5" borderId="117" xfId="0" applyFont="1" applyFill="1" applyBorder="1" applyAlignment="1">
      <alignment horizontal="center" vertical="center"/>
    </xf>
    <xf numFmtId="0" fontId="276" fillId="0" borderId="141" xfId="0" applyFont="1" applyBorder="1"/>
    <xf numFmtId="0" fontId="278" fillId="0" borderId="142" xfId="0" applyFont="1" applyBorder="1"/>
    <xf numFmtId="0" fontId="279" fillId="0" borderId="146" xfId="0" applyFont="1" applyBorder="1" applyAlignment="1">
      <alignment vertical="top"/>
    </xf>
    <xf numFmtId="0" fontId="281" fillId="0" borderId="147" xfId="0" applyFont="1" applyBorder="1" applyAlignment="1">
      <alignment vertical="top"/>
    </xf>
    <xf numFmtId="169" fontId="49" fillId="5" borderId="123" xfId="0" applyNumberFormat="1" applyFont="1" applyFill="1" applyBorder="1" applyAlignment="1" applyProtection="1">
      <alignment horizontal="right" vertical="center"/>
      <protection locked="0"/>
    </xf>
    <xf numFmtId="168" fontId="49" fillId="5" borderId="123" xfId="0" applyNumberFormat="1" applyFont="1" applyFill="1" applyBorder="1" applyAlignment="1" applyProtection="1">
      <alignment horizontal="right" vertical="center"/>
      <protection locked="0"/>
    </xf>
    <xf numFmtId="169" fontId="80" fillId="5" borderId="123" xfId="0" applyNumberFormat="1" applyFont="1" applyFill="1" applyBorder="1" applyAlignment="1" applyProtection="1">
      <alignment horizontal="right" vertical="center"/>
      <protection locked="0"/>
    </xf>
    <xf numFmtId="168" fontId="80" fillId="5" borderId="123" xfId="0" applyNumberFormat="1" applyFont="1" applyFill="1" applyBorder="1" applyAlignment="1" applyProtection="1">
      <alignment horizontal="right" vertical="center"/>
      <protection locked="0"/>
    </xf>
    <xf numFmtId="0" fontId="134" fillId="0" borderId="0" xfId="0" applyFont="1" applyAlignment="1">
      <alignment vertical="top"/>
    </xf>
    <xf numFmtId="0" fontId="102" fillId="0" borderId="151" xfId="0" applyFont="1" applyBorder="1" applyAlignment="1">
      <alignment vertical="center"/>
    </xf>
    <xf numFmtId="0" fontId="102" fillId="0" borderId="122" xfId="0" applyFont="1" applyBorder="1" applyAlignment="1">
      <alignment horizontal="left" vertical="center"/>
    </xf>
    <xf numFmtId="0" fontId="49" fillId="0" borderId="152" xfId="0" applyFont="1" applyBorder="1" applyAlignment="1">
      <alignment horizontal="left" vertical="top"/>
    </xf>
    <xf numFmtId="0" fontId="258" fillId="0" borderId="152" xfId="0" applyFont="1" applyBorder="1" applyAlignment="1">
      <alignment horizontal="left" vertical="center"/>
    </xf>
    <xf numFmtId="0" fontId="251" fillId="0" borderId="153" xfId="0" applyFont="1" applyBorder="1" applyAlignment="1">
      <alignment horizontal="left" vertical="top"/>
    </xf>
    <xf numFmtId="0" fontId="251" fillId="0" borderId="153" xfId="0" applyFont="1" applyBorder="1" applyAlignment="1">
      <alignment horizontal="left" vertical="top" wrapText="1"/>
    </xf>
    <xf numFmtId="49" fontId="4" fillId="0" borderId="40" xfId="1" applyNumberFormat="1" applyBorder="1" applyAlignment="1">
      <alignment horizontal="center" vertical="center" wrapText="1"/>
    </xf>
    <xf numFmtId="0" fontId="102" fillId="0" borderId="122" xfId="0" applyFont="1" applyBorder="1" applyAlignment="1">
      <alignment horizontal="left"/>
    </xf>
    <xf numFmtId="0" fontId="267" fillId="0" borderId="0" xfId="0" quotePrefix="1" applyFont="1" applyAlignment="1">
      <alignment horizontal="left" vertical="center" indent="2"/>
    </xf>
    <xf numFmtId="0" fontId="49" fillId="0" borderId="154" xfId="0" applyFont="1" applyBorder="1" applyAlignment="1">
      <alignment horizontal="left" vertical="center"/>
    </xf>
    <xf numFmtId="0" fontId="49" fillId="0" borderId="154" xfId="0" applyFont="1" applyBorder="1" applyAlignment="1">
      <alignment horizontal="right" vertical="center"/>
    </xf>
    <xf numFmtId="0" fontId="102" fillId="0" borderId="0" xfId="0" applyFont="1" applyAlignment="1">
      <alignment horizontal="center" vertical="center"/>
    </xf>
    <xf numFmtId="0" fontId="102" fillId="0" borderId="154" xfId="0" applyFont="1" applyBorder="1" applyAlignment="1">
      <alignment horizontal="left" vertical="center"/>
    </xf>
    <xf numFmtId="0" fontId="44" fillId="5" borderId="123" xfId="0" applyFont="1" applyFill="1" applyBorder="1" applyAlignment="1" applyProtection="1">
      <alignment horizontal="left" vertical="center"/>
      <protection locked="0"/>
    </xf>
    <xf numFmtId="0" fontId="176" fillId="0" borderId="0" xfId="0" applyFont="1" applyAlignment="1">
      <alignment horizontal="center" vertical="center"/>
    </xf>
    <xf numFmtId="14" fontId="39" fillId="0" borderId="96" xfId="0" applyNumberFormat="1" applyFont="1" applyBorder="1" applyAlignment="1">
      <alignment horizontal="right" vertical="center"/>
    </xf>
    <xf numFmtId="1" fontId="68" fillId="0" borderId="0" xfId="0" applyNumberFormat="1" applyFont="1" applyAlignment="1">
      <alignment horizontal="center" vertical="center"/>
    </xf>
    <xf numFmtId="0" fontId="283" fillId="5" borderId="130" xfId="0" applyFont="1" applyFill="1" applyBorder="1" applyAlignment="1">
      <alignment horizontal="center" vertical="center"/>
    </xf>
    <xf numFmtId="0" fontId="284" fillId="5" borderId="128" xfId="0" applyFont="1" applyFill="1" applyBorder="1" applyAlignment="1">
      <alignment horizontal="center" vertical="center"/>
    </xf>
    <xf numFmtId="0" fontId="285" fillId="5" borderId="0" xfId="0" applyFont="1" applyFill="1" applyAlignment="1">
      <alignment horizontal="left" vertical="center"/>
    </xf>
    <xf numFmtId="0" fontId="285" fillId="0" borderId="0" xfId="0" applyFont="1" applyAlignment="1">
      <alignment horizontal="center" vertical="center"/>
    </xf>
    <xf numFmtId="0" fontId="285" fillId="0" borderId="0" xfId="0" applyFont="1" applyAlignment="1">
      <alignment horizontal="left" vertical="center"/>
    </xf>
    <xf numFmtId="0" fontId="286" fillId="0" borderId="0" xfId="0" applyFont="1" applyAlignment="1">
      <alignment horizontal="center" wrapText="1"/>
    </xf>
    <xf numFmtId="0" fontId="286" fillId="0" borderId="0" xfId="0" applyFont="1" applyAlignment="1">
      <alignment vertical="top" wrapText="1"/>
    </xf>
    <xf numFmtId="0" fontId="286" fillId="0" borderId="0" xfId="0" applyFont="1" applyAlignment="1">
      <alignment horizontal="center"/>
    </xf>
    <xf numFmtId="0" fontId="287" fillId="0" borderId="0" xfId="0" applyFont="1"/>
    <xf numFmtId="0" fontId="286" fillId="0" borderId="0" xfId="0" applyFont="1" applyAlignment="1">
      <alignment horizontal="center" vertical="center" wrapText="1"/>
    </xf>
    <xf numFmtId="49" fontId="286" fillId="5" borderId="0" xfId="0" applyNumberFormat="1" applyFont="1" applyFill="1" applyAlignment="1">
      <alignment vertical="top" wrapText="1"/>
    </xf>
    <xf numFmtId="0" fontId="285" fillId="5" borderId="110" xfId="0" applyFont="1" applyFill="1" applyBorder="1" applyAlignment="1">
      <alignment horizontal="left"/>
    </xf>
    <xf numFmtId="0" fontId="283" fillId="5" borderId="0" xfId="0" applyFont="1" applyFill="1" applyAlignment="1">
      <alignment horizontal="center" vertical="center"/>
    </xf>
    <xf numFmtId="0" fontId="287" fillId="5" borderId="128" xfId="0" applyFont="1" applyFill="1" applyBorder="1"/>
    <xf numFmtId="0" fontId="288" fillId="5" borderId="128" xfId="0" applyFont="1" applyFill="1" applyBorder="1" applyAlignment="1">
      <alignment horizontal="center"/>
    </xf>
    <xf numFmtId="0" fontId="283" fillId="5" borderId="128" xfId="0" applyFont="1" applyFill="1" applyBorder="1" applyAlignment="1">
      <alignment horizontal="center" vertical="center"/>
    </xf>
    <xf numFmtId="0" fontId="288" fillId="5" borderId="128" xfId="0" applyFont="1" applyFill="1" applyBorder="1" applyAlignment="1">
      <alignment horizontal="center" vertical="center"/>
    </xf>
    <xf numFmtId="0" fontId="288" fillId="5" borderId="128" xfId="0" applyFont="1" applyFill="1" applyBorder="1"/>
    <xf numFmtId="0" fontId="289" fillId="5" borderId="0" xfId="0" applyFont="1" applyFill="1" applyAlignment="1">
      <alignment horizontal="left" vertical="center"/>
    </xf>
    <xf numFmtId="0" fontId="242" fillId="0" borderId="0" xfId="0" applyFont="1" applyAlignment="1">
      <alignment horizontal="right" vertical="top" wrapText="1"/>
    </xf>
    <xf numFmtId="0" fontId="259" fillId="0" borderId="0" xfId="0" applyFont="1" applyAlignment="1">
      <alignment horizontal="right"/>
    </xf>
    <xf numFmtId="0" fontId="44" fillId="0" borderId="0" xfId="0" applyFont="1" applyAlignment="1">
      <alignment vertical="top"/>
    </xf>
    <xf numFmtId="0" fontId="44" fillId="0" borderId="147" xfId="0" applyFont="1" applyBorder="1" applyAlignment="1">
      <alignment vertical="top"/>
    </xf>
    <xf numFmtId="0" fontId="272" fillId="0" borderId="0" xfId="0" applyFont="1" applyAlignment="1">
      <alignment horizontal="left" indent="1"/>
    </xf>
    <xf numFmtId="180" fontId="263" fillId="5" borderId="0" xfId="0" applyNumberFormat="1" applyFont="1" applyFill="1" applyAlignment="1" applyProtection="1">
      <alignment horizontal="left" vertical="center"/>
      <protection locked="0"/>
    </xf>
    <xf numFmtId="0" fontId="291" fillId="0" borderId="0" xfId="0" applyFont="1"/>
    <xf numFmtId="0" fontId="259" fillId="0" borderId="0" xfId="0" applyFont="1"/>
    <xf numFmtId="0" fontId="294" fillId="0" borderId="0" xfId="0" applyFont="1" applyAlignment="1">
      <alignment horizontal="center" vertical="center"/>
    </xf>
    <xf numFmtId="0" fontId="83" fillId="0" borderId="43" xfId="0" applyFont="1" applyBorder="1" applyAlignment="1">
      <alignment horizontal="center" vertical="center"/>
    </xf>
    <xf numFmtId="0" fontId="39" fillId="0" borderId="44" xfId="0" applyFont="1" applyBorder="1" applyAlignment="1">
      <alignment horizontal="center" vertical="center"/>
    </xf>
    <xf numFmtId="0" fontId="295" fillId="0" borderId="0" xfId="0" applyFont="1" applyAlignment="1">
      <alignment horizontal="center" vertical="center"/>
    </xf>
    <xf numFmtId="0" fontId="49" fillId="0" borderId="155" xfId="0" applyFont="1" applyBorder="1" applyAlignment="1">
      <alignment horizontal="center" vertical="center"/>
    </xf>
    <xf numFmtId="2" fontId="49" fillId="0" borderId="155" xfId="0" applyNumberFormat="1" applyFont="1" applyBorder="1" applyAlignment="1">
      <alignment horizontal="center" vertical="center"/>
    </xf>
    <xf numFmtId="179" fontId="49" fillId="0" borderId="155" xfId="0" applyNumberFormat="1" applyFont="1" applyBorder="1" applyAlignment="1">
      <alignment horizontal="center" vertical="center"/>
    </xf>
    <xf numFmtId="3" fontId="49" fillId="0" borderId="155" xfId="0" applyNumberFormat="1" applyFont="1" applyBorder="1" applyAlignment="1">
      <alignment horizontal="center" vertical="center"/>
    </xf>
    <xf numFmtId="0" fontId="234" fillId="0" borderId="0" xfId="0" applyFont="1" applyAlignment="1">
      <alignment horizontal="center"/>
    </xf>
    <xf numFmtId="0" fontId="296" fillId="0" borderId="0" xfId="0" applyFont="1" applyAlignment="1">
      <alignment horizontal="center" vertical="center"/>
    </xf>
    <xf numFmtId="169" fontId="175" fillId="0" borderId="122" xfId="0" applyNumberFormat="1" applyFont="1" applyBorder="1"/>
    <xf numFmtId="169" fontId="175" fillId="0" borderId="154" xfId="0" applyNumberFormat="1" applyFont="1" applyBorder="1"/>
    <xf numFmtId="0" fontId="251" fillId="0" borderId="0" xfId="0" applyFont="1" applyAlignment="1">
      <alignment horizontal="right" vertical="center"/>
    </xf>
    <xf numFmtId="0" fontId="271" fillId="0" borderId="156" xfId="0" applyFont="1" applyBorder="1" applyAlignment="1">
      <alignment horizontal="left" indent="1"/>
    </xf>
    <xf numFmtId="0" fontId="251" fillId="0" borderId="157" xfId="0" applyFont="1" applyBorder="1" applyAlignment="1">
      <alignment horizontal="right"/>
    </xf>
    <xf numFmtId="0" fontId="255" fillId="0" borderId="157" xfId="0" applyFont="1" applyBorder="1" applyAlignment="1">
      <alignment horizontal="right"/>
    </xf>
    <xf numFmtId="0" fontId="252" fillId="0" borderId="157" xfId="0" applyFont="1" applyBorder="1" applyAlignment="1">
      <alignment horizontal="right"/>
    </xf>
    <xf numFmtId="0" fontId="256" fillId="0" borderId="157" xfId="0" applyFont="1" applyBorder="1" applyAlignment="1">
      <alignment horizontal="right"/>
    </xf>
    <xf numFmtId="0" fontId="253" fillId="0" borderId="157" xfId="0" applyFont="1" applyBorder="1" applyAlignment="1" applyProtection="1">
      <alignment horizontal="left" vertical="center"/>
      <protection locked="0"/>
    </xf>
    <xf numFmtId="0" fontId="255" fillId="0" borderId="158" xfId="0" applyFont="1" applyBorder="1"/>
    <xf numFmtId="0" fontId="251" fillId="0" borderId="159" xfId="0" applyFont="1" applyBorder="1" applyAlignment="1">
      <alignment horizontal="left" indent="1"/>
    </xf>
    <xf numFmtId="0" fontId="96" fillId="0" borderId="0" xfId="0" applyFont="1" applyAlignment="1">
      <alignment horizontal="center" vertical="center"/>
    </xf>
    <xf numFmtId="0" fontId="254" fillId="0" borderId="0" xfId="0" applyFont="1" applyAlignment="1">
      <alignment horizontal="left"/>
    </xf>
    <xf numFmtId="0" fontId="257" fillId="0" borderId="0" xfId="0" applyFont="1" applyAlignment="1">
      <alignment horizontal="left"/>
    </xf>
    <xf numFmtId="0" fontId="251" fillId="0" borderId="0" xfId="0" applyFont="1" applyAlignment="1">
      <alignment horizontal="left"/>
    </xf>
    <xf numFmtId="0" fontId="255" fillId="0" borderId="0" xfId="0" applyFont="1" applyAlignment="1">
      <alignment horizontal="left"/>
    </xf>
    <xf numFmtId="0" fontId="255" fillId="0" borderId="160" xfId="0" applyFont="1" applyBorder="1" applyAlignment="1">
      <alignment horizontal="left"/>
    </xf>
    <xf numFmtId="0" fontId="39" fillId="0" borderId="159" xfId="0" applyFont="1" applyBorder="1" applyAlignment="1">
      <alignment horizontal="left" vertical="top" indent="1"/>
    </xf>
    <xf numFmtId="0" fontId="255" fillId="0" borderId="164" xfId="0" applyFont="1" applyBorder="1" applyAlignment="1">
      <alignment horizontal="left" vertical="center"/>
    </xf>
    <xf numFmtId="0" fontId="255" fillId="0" borderId="165" xfId="0" applyFont="1" applyBorder="1" applyAlignment="1">
      <alignment horizontal="left"/>
    </xf>
    <xf numFmtId="0" fontId="251" fillId="0" borderId="159" xfId="0" applyFont="1" applyBorder="1" applyAlignment="1">
      <alignment horizontal="left" vertical="center" indent="1"/>
    </xf>
    <xf numFmtId="0" fontId="49" fillId="0" borderId="160" xfId="0" applyFont="1" applyBorder="1" applyAlignment="1">
      <alignment horizontal="left" vertical="center"/>
    </xf>
    <xf numFmtId="0" fontId="251" fillId="0" borderId="0" xfId="0" applyFont="1"/>
    <xf numFmtId="0" fontId="49" fillId="0" borderId="164" xfId="0" applyFont="1" applyBorder="1" applyAlignment="1">
      <alignment horizontal="left" vertical="top"/>
    </xf>
    <xf numFmtId="0" fontId="251" fillId="0" borderId="161" xfId="0" applyFont="1" applyBorder="1" applyAlignment="1">
      <alignment horizontal="left" indent="1"/>
    </xf>
    <xf numFmtId="0" fontId="251" fillId="0" borderId="162" xfId="0" applyFont="1" applyBorder="1"/>
    <xf numFmtId="0" fontId="96" fillId="0" borderId="162" xfId="0" applyFont="1" applyBorder="1" applyAlignment="1">
      <alignment horizontal="center" vertical="center"/>
    </xf>
    <xf numFmtId="14" fontId="0" fillId="0" borderId="96" xfId="0" applyNumberFormat="1" applyBorder="1" applyAlignment="1">
      <alignment horizontal="right"/>
    </xf>
    <xf numFmtId="14" fontId="39" fillId="0" borderId="28" xfId="0" applyNumberFormat="1" applyFont="1" applyBorder="1" applyAlignment="1">
      <alignment horizontal="right" vertical="center"/>
    </xf>
    <xf numFmtId="14" fontId="0" fillId="0" borderId="28" xfId="0" applyNumberFormat="1" applyBorder="1" applyAlignment="1">
      <alignment horizontal="right"/>
    </xf>
    <xf numFmtId="0" fontId="251" fillId="0" borderId="168" xfId="0" applyFont="1" applyBorder="1"/>
    <xf numFmtId="0" fontId="251" fillId="0" borderId="169" xfId="0" applyFont="1" applyBorder="1" applyAlignment="1">
      <alignment horizontal="right" vertical="center"/>
    </xf>
    <xf numFmtId="0" fontId="264" fillId="0" borderId="170" xfId="0" applyFont="1" applyBorder="1" applyAlignment="1">
      <alignment horizontal="right"/>
    </xf>
    <xf numFmtId="0" fontId="251" fillId="0" borderId="171" xfId="0" applyFont="1" applyBorder="1"/>
    <xf numFmtId="14" fontId="263" fillId="0" borderId="172" xfId="0" applyNumberFormat="1" applyFont="1" applyBorder="1" applyAlignment="1">
      <alignment horizontal="right" vertical="center"/>
    </xf>
    <xf numFmtId="0" fontId="251" fillId="0" borderId="173" xfId="0" applyFont="1" applyBorder="1"/>
    <xf numFmtId="0" fontId="251" fillId="0" borderId="122" xfId="0" applyFont="1" applyBorder="1" applyAlignment="1">
      <alignment horizontal="right"/>
    </xf>
    <xf numFmtId="14" fontId="263" fillId="0" borderId="174" xfId="0" applyNumberFormat="1" applyFont="1" applyBorder="1" applyAlignment="1">
      <alignment horizontal="right" vertical="center"/>
    </xf>
    <xf numFmtId="0" fontId="50" fillId="0" borderId="0" xfId="0" applyFont="1" applyAlignment="1">
      <alignment vertical="top"/>
    </xf>
    <xf numFmtId="0" fontId="236" fillId="0" borderId="0" xfId="0" applyFont="1" applyAlignment="1">
      <alignment horizontal="left" vertical="center"/>
    </xf>
    <xf numFmtId="0" fontId="297" fillId="0" borderId="0" xfId="0" applyFont="1" applyAlignment="1">
      <alignment horizontal="left" vertical="center"/>
    </xf>
    <xf numFmtId="0" fontId="97" fillId="0" borderId="0" xfId="0" applyFont="1" applyAlignment="1">
      <alignment horizontal="right"/>
    </xf>
    <xf numFmtId="0" fontId="50" fillId="0" borderId="41" xfId="0" applyFont="1" applyBorder="1" applyAlignment="1">
      <alignment horizontal="center" vertical="top"/>
    </xf>
    <xf numFmtId="0" fontId="50" fillId="0" borderId="43" xfId="0" applyFont="1" applyBorder="1" applyAlignment="1">
      <alignment horizontal="center" vertical="top"/>
    </xf>
    <xf numFmtId="0" fontId="39" fillId="0" borderId="42" xfId="0" applyFont="1" applyBorder="1" applyAlignment="1">
      <alignment horizontal="center" vertical="center"/>
    </xf>
    <xf numFmtId="0" fontId="50" fillId="0" borderId="25" xfId="0" applyFont="1" applyBorder="1" applyAlignment="1">
      <alignment horizontal="right"/>
    </xf>
    <xf numFmtId="0" fontId="50" fillId="0" borderId="25" xfId="0" applyFont="1" applyBorder="1" applyAlignment="1">
      <alignment horizontal="right" vertical="top"/>
    </xf>
    <xf numFmtId="3" fontId="50" fillId="0" borderId="25" xfId="0" applyNumberFormat="1" applyFont="1" applyBorder="1" applyAlignment="1">
      <alignment horizontal="right" vertical="center"/>
    </xf>
    <xf numFmtId="0" fontId="50" fillId="0" borderId="26" xfId="0" applyFont="1" applyBorder="1" applyAlignment="1">
      <alignment horizontal="right"/>
    </xf>
    <xf numFmtId="3" fontId="50" fillId="0" borderId="26" xfId="0" applyNumberFormat="1" applyFont="1" applyBorder="1" applyAlignment="1">
      <alignment horizontal="right" vertical="center"/>
    </xf>
    <xf numFmtId="0" fontId="295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4" fontId="124" fillId="7" borderId="44" xfId="0" applyNumberFormat="1" applyFont="1" applyFill="1" applyBorder="1" applyAlignment="1">
      <alignment horizontal="center" vertical="center"/>
    </xf>
    <xf numFmtId="0" fontId="102" fillId="5" borderId="123" xfId="0" applyFont="1" applyFill="1" applyBorder="1" applyAlignment="1">
      <alignment vertical="center"/>
    </xf>
    <xf numFmtId="0" fontId="287" fillId="5" borderId="128" xfId="0" applyFont="1" applyFill="1" applyBorder="1" applyAlignment="1">
      <alignment horizontal="center" vertical="center"/>
    </xf>
    <xf numFmtId="49" fontId="190" fillId="0" borderId="0" xfId="0" applyNumberFormat="1" applyFont="1" applyAlignment="1">
      <alignment horizontal="center" vertical="center"/>
    </xf>
    <xf numFmtId="49" fontId="128" fillId="7" borderId="43" xfId="0" applyNumberFormat="1" applyFont="1" applyFill="1" applyBorder="1" applyAlignment="1">
      <alignment horizontal="center"/>
    </xf>
    <xf numFmtId="0" fontId="39" fillId="0" borderId="178" xfId="0" applyFont="1" applyBorder="1" applyAlignment="1">
      <alignment horizontal="center" vertical="center"/>
    </xf>
    <xf numFmtId="49" fontId="38" fillId="0" borderId="178" xfId="0" applyNumberFormat="1" applyFont="1" applyBorder="1" applyAlignment="1">
      <alignment vertical="center"/>
    </xf>
    <xf numFmtId="0" fontId="38" fillId="0" borderId="178" xfId="0" applyFont="1" applyBorder="1" applyAlignment="1">
      <alignment vertical="center"/>
    </xf>
    <xf numFmtId="0" fontId="4" fillId="0" borderId="178" xfId="1" applyBorder="1" applyAlignment="1">
      <alignment horizontal="left" vertical="center"/>
    </xf>
    <xf numFmtId="0" fontId="38" fillId="0" borderId="178" xfId="0" applyFont="1" applyBorder="1" applyAlignment="1">
      <alignment horizontal="left" vertical="center"/>
    </xf>
    <xf numFmtId="49" fontId="190" fillId="0" borderId="0" xfId="0" applyNumberFormat="1" applyFont="1" applyAlignment="1">
      <alignment vertical="center"/>
    </xf>
    <xf numFmtId="0" fontId="49" fillId="0" borderId="178" xfId="0" applyFont="1" applyBorder="1" applyAlignment="1">
      <alignment horizontal="center" vertical="center"/>
    </xf>
    <xf numFmtId="0" fontId="136" fillId="0" borderId="180" xfId="0" applyFont="1" applyBorder="1" applyAlignment="1">
      <alignment horizontal="center" vertical="center"/>
    </xf>
    <xf numFmtId="0" fontId="127" fillId="0" borderId="179" xfId="0" applyFont="1" applyBorder="1" applyAlignment="1">
      <alignment horizontal="center" vertical="center"/>
    </xf>
    <xf numFmtId="0" fontId="49" fillId="0" borderId="179" xfId="0" applyFont="1" applyBorder="1" applyAlignment="1">
      <alignment horizontal="center" vertical="center"/>
    </xf>
    <xf numFmtId="0" fontId="102" fillId="0" borderId="179" xfId="0" applyFont="1" applyBorder="1" applyAlignment="1">
      <alignment horizontal="left" vertical="center"/>
    </xf>
    <xf numFmtId="0" fontId="102" fillId="0" borderId="178" xfId="0" applyFont="1" applyBorder="1" applyAlignment="1">
      <alignment horizontal="left" vertical="center"/>
    </xf>
    <xf numFmtId="22" fontId="38" fillId="0" borderId="0" xfId="0" applyNumberFormat="1" applyFont="1" applyAlignment="1">
      <alignment horizontal="center" vertical="center"/>
    </xf>
    <xf numFmtId="0" fontId="42" fillId="5" borderId="123" xfId="0" applyFont="1" applyFill="1" applyBorder="1" applyAlignment="1">
      <alignment horizontal="left" vertical="center"/>
    </xf>
    <xf numFmtId="0" fontId="136" fillId="7" borderId="181" xfId="0" applyFont="1" applyFill="1" applyBorder="1" applyAlignment="1">
      <alignment horizontal="center" vertical="center"/>
    </xf>
    <xf numFmtId="0" fontId="124" fillId="7" borderId="182" xfId="0" applyFont="1" applyFill="1" applyBorder="1" applyAlignment="1">
      <alignment horizontal="center" vertical="top"/>
    </xf>
    <xf numFmtId="0" fontId="134" fillId="0" borderId="0" xfId="0" applyFont="1" applyAlignment="1">
      <alignment horizontal="centerContinuous" vertical="center"/>
    </xf>
    <xf numFmtId="0" fontId="298" fillId="0" borderId="0" xfId="0" applyFont="1" applyAlignment="1">
      <alignment horizontal="centerContinuous" vertical="center"/>
    </xf>
    <xf numFmtId="0" fontId="102" fillId="0" borderId="183" xfId="0" applyFont="1" applyBorder="1" applyAlignment="1">
      <alignment horizontal="left"/>
    </xf>
    <xf numFmtId="0" fontId="299" fillId="0" borderId="0" xfId="0" applyFont="1" applyAlignment="1">
      <alignment vertical="center"/>
    </xf>
    <xf numFmtId="0" fontId="299" fillId="0" borderId="0" xfId="0" applyFont="1" applyAlignment="1">
      <alignment horizontal="center" vertical="center"/>
    </xf>
    <xf numFmtId="0" fontId="300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46" fillId="5" borderId="30" xfId="0" applyFont="1" applyFill="1" applyBorder="1" applyAlignment="1">
      <alignment horizontal="center" vertical="center"/>
    </xf>
    <xf numFmtId="4" fontId="136" fillId="7" borderId="43" xfId="0" applyNumberFormat="1" applyFont="1" applyFill="1" applyBorder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79" fillId="12" borderId="29" xfId="0" applyFont="1" applyFill="1" applyBorder="1" applyAlignment="1">
      <alignment horizontal="centerContinuous" vertical="center"/>
    </xf>
    <xf numFmtId="0" fontId="49" fillId="0" borderId="186" xfId="0" applyFont="1" applyBorder="1" applyAlignment="1">
      <alignment horizontal="left"/>
    </xf>
    <xf numFmtId="0" fontId="49" fillId="0" borderId="187" xfId="0" applyFont="1" applyBorder="1" applyAlignment="1">
      <alignment horizontal="center"/>
    </xf>
    <xf numFmtId="0" fontId="48" fillId="0" borderId="185" xfId="0" applyFont="1" applyBorder="1" applyAlignment="1">
      <alignment horizontal="center"/>
    </xf>
    <xf numFmtId="0" fontId="102" fillId="0" borderId="186" xfId="0" applyFont="1" applyBorder="1" applyAlignment="1">
      <alignment horizontal="center"/>
    </xf>
    <xf numFmtId="2" fontId="48" fillId="0" borderId="185" xfId="0" applyNumberFormat="1" applyFont="1" applyBorder="1" applyAlignment="1">
      <alignment horizontal="right"/>
    </xf>
    <xf numFmtId="177" fontId="102" fillId="0" borderId="186" xfId="0" applyNumberFormat="1" applyFont="1" applyBorder="1" applyAlignment="1">
      <alignment horizontal="right"/>
    </xf>
    <xf numFmtId="2" fontId="48" fillId="0" borderId="187" xfId="0" applyNumberFormat="1" applyFont="1" applyBorder="1" applyAlignment="1">
      <alignment horizontal="right"/>
    </xf>
    <xf numFmtId="0" fontId="49" fillId="0" borderId="189" xfId="0" applyFont="1" applyBorder="1" applyAlignment="1">
      <alignment horizontal="center"/>
    </xf>
    <xf numFmtId="0" fontId="79" fillId="12" borderId="190" xfId="0" applyFont="1" applyFill="1" applyBorder="1" applyAlignment="1">
      <alignment horizontal="center" vertical="center"/>
    </xf>
    <xf numFmtId="0" fontId="63" fillId="12" borderId="188" xfId="0" applyFont="1" applyFill="1" applyBorder="1" applyAlignment="1">
      <alignment horizontal="center" vertical="top"/>
    </xf>
    <xf numFmtId="0" fontId="79" fillId="12" borderId="191" xfId="0" applyFont="1" applyFill="1" applyBorder="1" applyAlignment="1">
      <alignment horizontal="centerContinuous" vertical="center"/>
    </xf>
    <xf numFmtId="0" fontId="79" fillId="12" borderId="192" xfId="0" applyFont="1" applyFill="1" applyBorder="1" applyAlignment="1">
      <alignment horizontal="centerContinuous" vertical="center"/>
    </xf>
    <xf numFmtId="0" fontId="102" fillId="0" borderId="183" xfId="0" applyFont="1" applyBorder="1" applyAlignment="1">
      <alignment horizontal="right"/>
    </xf>
    <xf numFmtId="2" fontId="49" fillId="0" borderId="183" xfId="0" applyNumberFormat="1" applyFont="1" applyBorder="1"/>
    <xf numFmtId="0" fontId="119" fillId="5" borderId="92" xfId="0" applyFont="1" applyFill="1" applyBorder="1" applyAlignment="1">
      <alignment horizontal="center" vertical="top"/>
    </xf>
    <xf numFmtId="0" fontId="63" fillId="12" borderId="186" xfId="0" applyFont="1" applyFill="1" applyBorder="1" applyAlignment="1">
      <alignment horizontal="centerContinuous" vertical="center"/>
    </xf>
    <xf numFmtId="0" fontId="63" fillId="12" borderId="185" xfId="0" applyFont="1" applyFill="1" applyBorder="1" applyAlignment="1">
      <alignment horizontal="centerContinuous" vertical="center"/>
    </xf>
    <xf numFmtId="4" fontId="102" fillId="0" borderId="187" xfId="0" applyNumberFormat="1" applyFont="1" applyBorder="1" applyAlignment="1">
      <alignment horizontal="right"/>
    </xf>
    <xf numFmtId="0" fontId="63" fillId="12" borderId="193" xfId="0" applyFont="1" applyFill="1" applyBorder="1" applyAlignment="1">
      <alignment horizontal="centerContinuous" vertical="center"/>
    </xf>
    <xf numFmtId="0" fontId="63" fillId="12" borderId="194" xfId="0" applyFont="1" applyFill="1" applyBorder="1" applyAlignment="1">
      <alignment horizontal="centerContinuous" vertical="center"/>
    </xf>
    <xf numFmtId="168" fontId="270" fillId="0" borderId="0" xfId="0" applyNumberFormat="1" applyFont="1" applyAlignment="1">
      <alignment vertical="center"/>
    </xf>
    <xf numFmtId="2" fontId="301" fillId="0" borderId="0" xfId="0" applyNumberFormat="1" applyFont="1" applyAlignment="1">
      <alignment horizontal="center" vertical="center"/>
    </xf>
    <xf numFmtId="0" fontId="146" fillId="0" borderId="0" xfId="0" applyFont="1" applyAlignment="1">
      <alignment horizontal="center"/>
    </xf>
    <xf numFmtId="0" fontId="301" fillId="0" borderId="0" xfId="0" applyFont="1" applyAlignment="1">
      <alignment horizontal="center"/>
    </xf>
    <xf numFmtId="1" fontId="39" fillId="0" borderId="0" xfId="0" applyNumberFormat="1" applyFont="1" applyAlignment="1">
      <alignment horizontal="center" vertical="center"/>
    </xf>
    <xf numFmtId="0" fontId="63" fillId="12" borderId="193" xfId="0" applyFont="1" applyFill="1" applyBorder="1" applyAlignment="1">
      <alignment horizontal="centerContinuous" vertical="top"/>
    </xf>
    <xf numFmtId="0" fontId="63" fillId="12" borderId="194" xfId="0" applyFont="1" applyFill="1" applyBorder="1" applyAlignment="1">
      <alignment horizontal="centerContinuous" vertical="top"/>
    </xf>
    <xf numFmtId="0" fontId="181" fillId="5" borderId="191" xfId="0" applyFont="1" applyFill="1" applyBorder="1" applyAlignment="1">
      <alignment vertical="center"/>
    </xf>
    <xf numFmtId="0" fontId="181" fillId="5" borderId="195" xfId="0" applyFont="1" applyFill="1" applyBorder="1" applyAlignment="1">
      <alignment vertical="center"/>
    </xf>
    <xf numFmtId="0" fontId="181" fillId="5" borderId="192" xfId="0" applyFont="1" applyFill="1" applyBorder="1" applyAlignment="1">
      <alignment vertical="center"/>
    </xf>
    <xf numFmtId="0" fontId="181" fillId="5" borderId="196" xfId="0" applyFont="1" applyFill="1" applyBorder="1" applyAlignment="1">
      <alignment horizontal="center" vertical="center"/>
    </xf>
    <xf numFmtId="0" fontId="181" fillId="5" borderId="197" xfId="0" applyFont="1" applyFill="1" applyBorder="1" applyAlignment="1">
      <alignment horizontal="center" vertical="center"/>
    </xf>
    <xf numFmtId="0" fontId="44" fillId="5" borderId="196" xfId="0" applyFont="1" applyFill="1" applyBorder="1"/>
    <xf numFmtId="0" fontId="39" fillId="5" borderId="197" xfId="0" applyFont="1" applyFill="1" applyBorder="1" applyAlignment="1">
      <alignment horizontal="center" vertical="center"/>
    </xf>
    <xf numFmtId="0" fontId="44" fillId="5" borderId="196" xfId="0" applyFont="1" applyFill="1" applyBorder="1" applyAlignment="1">
      <alignment horizontal="center" vertical="center"/>
    </xf>
    <xf numFmtId="0" fontId="204" fillId="5" borderId="197" xfId="0" applyFont="1" applyFill="1" applyBorder="1" applyAlignment="1">
      <alignment horizontal="center" vertical="center"/>
    </xf>
    <xf numFmtId="0" fontId="39" fillId="5" borderId="196" xfId="0" applyFont="1" applyFill="1" applyBorder="1" applyAlignment="1">
      <alignment horizontal="center" vertical="center"/>
    </xf>
    <xf numFmtId="0" fontId="119" fillId="5" borderId="197" xfId="0" applyFont="1" applyFill="1" applyBorder="1" applyAlignment="1">
      <alignment horizontal="center" vertical="center"/>
    </xf>
    <xf numFmtId="0" fontId="39" fillId="5" borderId="196" xfId="0" applyFont="1" applyFill="1" applyBorder="1"/>
    <xf numFmtId="0" fontId="119" fillId="5" borderId="197" xfId="0" applyFont="1" applyFill="1" applyBorder="1"/>
    <xf numFmtId="0" fontId="39" fillId="5" borderId="198" xfId="0" applyFont="1" applyFill="1" applyBorder="1"/>
    <xf numFmtId="0" fontId="283" fillId="5" borderId="199" xfId="0" applyFont="1" applyFill="1" applyBorder="1" applyAlignment="1">
      <alignment horizontal="center" vertical="center"/>
    </xf>
    <xf numFmtId="0" fontId="284" fillId="5" borderId="197" xfId="0" applyFont="1" applyFill="1" applyBorder="1" applyAlignment="1">
      <alignment horizontal="center" vertical="center"/>
    </xf>
    <xf numFmtId="0" fontId="287" fillId="5" borderId="197" xfId="0" applyFont="1" applyFill="1" applyBorder="1"/>
    <xf numFmtId="0" fontId="288" fillId="5" borderId="197" xfId="0" applyFont="1" applyFill="1" applyBorder="1" applyAlignment="1">
      <alignment horizontal="center"/>
    </xf>
    <xf numFmtId="0" fontId="283" fillId="5" borderId="197" xfId="0" applyFont="1" applyFill="1" applyBorder="1" applyAlignment="1">
      <alignment horizontal="center" vertical="center"/>
    </xf>
    <xf numFmtId="0" fontId="288" fillId="5" borderId="197" xfId="0" applyFont="1" applyFill="1" applyBorder="1" applyAlignment="1">
      <alignment horizontal="center" vertical="center"/>
    </xf>
    <xf numFmtId="0" fontId="288" fillId="5" borderId="197" xfId="0" applyFont="1" applyFill="1" applyBorder="1"/>
    <xf numFmtId="0" fontId="130" fillId="5" borderId="197" xfId="0" applyFont="1" applyFill="1" applyBorder="1"/>
    <xf numFmtId="0" fontId="39" fillId="5" borderId="197" xfId="0" applyFont="1" applyFill="1" applyBorder="1"/>
    <xf numFmtId="0" fontId="44" fillId="5" borderId="193" xfId="0" applyFont="1" applyFill="1" applyBorder="1"/>
    <xf numFmtId="0" fontId="0" fillId="5" borderId="183" xfId="0" applyFill="1" applyBorder="1"/>
    <xf numFmtId="178" fontId="49" fillId="5" borderId="183" xfId="0" applyNumberFormat="1" applyFont="1" applyFill="1" applyBorder="1" applyAlignment="1">
      <alignment horizontal="left" vertical="top"/>
    </xf>
    <xf numFmtId="0" fontId="44" fillId="5" borderId="183" xfId="0" applyFont="1" applyFill="1" applyBorder="1"/>
    <xf numFmtId="0" fontId="44" fillId="5" borderId="194" xfId="0" applyFont="1" applyFill="1" applyBorder="1"/>
    <xf numFmtId="0" fontId="102" fillId="0" borderId="186" xfId="0" applyFont="1" applyBorder="1" applyAlignment="1">
      <alignment horizontal="centerContinuous"/>
    </xf>
    <xf numFmtId="0" fontId="44" fillId="0" borderId="184" xfId="0" applyFont="1" applyBorder="1" applyAlignment="1">
      <alignment horizontal="centerContinuous"/>
    </xf>
    <xf numFmtId="0" fontId="218" fillId="0" borderId="0" xfId="0" applyFont="1" applyAlignment="1">
      <alignment horizontal="centerContinuous" vertical="center"/>
    </xf>
    <xf numFmtId="0" fontId="177" fillId="0" borderId="0" xfId="0" applyFont="1" applyAlignment="1">
      <alignment horizontal="centerContinuous" vertical="center"/>
    </xf>
    <xf numFmtId="2" fontId="177" fillId="0" borderId="0" xfId="0" applyNumberFormat="1" applyFont="1" applyAlignment="1">
      <alignment horizontal="centerContinuous" vertical="center"/>
    </xf>
    <xf numFmtId="0" fontId="178" fillId="0" borderId="0" xfId="0" applyFont="1" applyAlignment="1">
      <alignment horizontal="centerContinuous" vertical="center"/>
    </xf>
    <xf numFmtId="2" fontId="178" fillId="0" borderId="0" xfId="0" applyNumberFormat="1" applyFont="1" applyAlignment="1">
      <alignment horizontal="centerContinuous" vertical="center"/>
    </xf>
    <xf numFmtId="0" fontId="178" fillId="0" borderId="0" xfId="0" applyFont="1" applyAlignment="1">
      <alignment horizontal="centerContinuous" vertical="center" wrapText="1"/>
    </xf>
    <xf numFmtId="2" fontId="120" fillId="0" borderId="40" xfId="0" applyNumberFormat="1" applyFont="1" applyBorder="1" applyAlignment="1">
      <alignment horizontal="center" vertical="center"/>
    </xf>
    <xf numFmtId="171" fontId="178" fillId="0" borderId="0" xfId="0" applyNumberFormat="1" applyFont="1" applyAlignment="1">
      <alignment horizontal="centerContinuous" vertical="center"/>
    </xf>
    <xf numFmtId="0" fontId="223" fillId="0" borderId="0" xfId="0" applyFont="1" applyAlignment="1">
      <alignment horizontal="centerContinuous" vertical="center"/>
    </xf>
    <xf numFmtId="14" fontId="9" fillId="0" borderId="0" xfId="0" applyNumberFormat="1" applyFont="1" applyAlignment="1">
      <alignment horizontal="left" vertical="center"/>
    </xf>
    <xf numFmtId="14" fontId="175" fillId="0" borderId="0" xfId="0" applyNumberFormat="1" applyFont="1" applyAlignment="1">
      <alignment vertical="center"/>
    </xf>
    <xf numFmtId="14" fontId="178" fillId="0" borderId="0" xfId="0" applyNumberFormat="1" applyFont="1" applyAlignment="1">
      <alignment horizontal="centerContinuous" vertical="center"/>
    </xf>
    <xf numFmtId="14" fontId="177" fillId="0" borderId="0" xfId="0" applyNumberFormat="1" applyFont="1" applyAlignment="1">
      <alignment horizontal="centerContinuous" vertical="center"/>
    </xf>
    <xf numFmtId="14" fontId="177" fillId="0" borderId="0" xfId="0" applyNumberFormat="1" applyFont="1" applyAlignment="1">
      <alignment vertical="center"/>
    </xf>
    <xf numFmtId="14" fontId="129" fillId="7" borderId="27" xfId="0" applyNumberFormat="1" applyFont="1" applyFill="1" applyBorder="1" applyAlignment="1">
      <alignment horizontal="center"/>
    </xf>
    <xf numFmtId="14" fontId="130" fillId="7" borderId="28" xfId="0" applyNumberFormat="1" applyFont="1" applyFill="1" applyBorder="1" applyAlignment="1">
      <alignment horizontal="center" vertical="center"/>
    </xf>
    <xf numFmtId="14" fontId="136" fillId="0" borderId="43" xfId="0" applyNumberFormat="1" applyFont="1" applyBorder="1" applyAlignment="1">
      <alignment horizontal="center"/>
    </xf>
    <xf numFmtId="14" fontId="130" fillId="0" borderId="79" xfId="0" applyNumberFormat="1" applyFont="1" applyBorder="1" applyAlignment="1">
      <alignment horizontal="center" vertical="top"/>
    </xf>
    <xf numFmtId="14" fontId="181" fillId="0" borderId="0" xfId="0" applyNumberFormat="1" applyFont="1" applyAlignment="1">
      <alignment horizontal="center" vertical="center"/>
    </xf>
    <xf numFmtId="14" fontId="79" fillId="12" borderId="190" xfId="0" applyNumberFormat="1" applyFont="1" applyFill="1" applyBorder="1" applyAlignment="1">
      <alignment horizontal="center" vertical="center"/>
    </xf>
    <xf numFmtId="14" fontId="63" fillId="12" borderId="188" xfId="0" applyNumberFormat="1" applyFont="1" applyFill="1" applyBorder="1" applyAlignment="1">
      <alignment horizontal="center" vertical="top"/>
    </xf>
    <xf numFmtId="14" fontId="166" fillId="0" borderId="0" xfId="0" applyNumberFormat="1" applyFont="1" applyAlignment="1">
      <alignment horizontal="center" vertical="center"/>
    </xf>
    <xf numFmtId="14" fontId="102" fillId="0" borderId="183" xfId="0" applyNumberFormat="1" applyFont="1" applyBorder="1" applyAlignment="1">
      <alignment horizontal="center"/>
    </xf>
    <xf numFmtId="0" fontId="270" fillId="0" borderId="185" xfId="0" applyFont="1" applyBorder="1" applyAlignment="1">
      <alignment horizontal="center" vertical="center"/>
    </xf>
    <xf numFmtId="0" fontId="49" fillId="0" borderId="185" xfId="0" applyFont="1" applyBorder="1" applyAlignment="1">
      <alignment horizontal="left"/>
    </xf>
    <xf numFmtId="0" fontId="244" fillId="0" borderId="0" xfId="0" applyFont="1" applyAlignment="1">
      <alignment horizontal="center"/>
    </xf>
    <xf numFmtId="49" fontId="9" fillId="0" borderId="40" xfId="0" applyNumberFormat="1" applyFont="1" applyBorder="1" applyAlignment="1">
      <alignment horizontal="left" vertical="center"/>
    </xf>
    <xf numFmtId="172" fontId="9" fillId="0" borderId="40" xfId="0" applyNumberFormat="1" applyFont="1" applyBorder="1" applyAlignment="1">
      <alignment horizontal="left" vertical="center"/>
    </xf>
    <xf numFmtId="49" fontId="9" fillId="0" borderId="40" xfId="0" applyNumberFormat="1" applyFont="1" applyBorder="1" applyAlignment="1">
      <alignment horizontal="center" vertical="center"/>
    </xf>
    <xf numFmtId="0" fontId="9" fillId="0" borderId="40" xfId="0" applyFont="1" applyBorder="1"/>
    <xf numFmtId="0" fontId="102" fillId="5" borderId="123" xfId="0" applyFont="1" applyFill="1" applyBorder="1" applyAlignment="1">
      <alignment horizontal="left" vertical="center"/>
    </xf>
    <xf numFmtId="2" fontId="39" fillId="0" borderId="0" xfId="0" applyNumberFormat="1" applyFont="1"/>
    <xf numFmtId="2" fontId="48" fillId="0" borderId="25" xfId="0" applyNumberFormat="1" applyFont="1" applyBorder="1" applyAlignment="1">
      <alignment horizontal="right" vertical="center"/>
    </xf>
    <xf numFmtId="0" fontId="102" fillId="0" borderId="25" xfId="0" applyFont="1" applyBorder="1" applyAlignment="1">
      <alignment horizontal="right" vertical="center"/>
    </xf>
    <xf numFmtId="2" fontId="97" fillId="0" borderId="25" xfId="0" applyNumberFormat="1" applyFont="1" applyBorder="1" applyAlignment="1">
      <alignment horizontal="right" vertical="center"/>
    </xf>
    <xf numFmtId="0" fontId="49" fillId="0" borderId="185" xfId="0" applyFont="1" applyBorder="1" applyAlignment="1">
      <alignment horizontal="center"/>
    </xf>
    <xf numFmtId="0" fontId="102" fillId="0" borderId="185" xfId="0" applyFont="1" applyBorder="1" applyAlignment="1">
      <alignment horizontal="left"/>
    </xf>
    <xf numFmtId="0" fontId="49" fillId="0" borderId="185" xfId="0" applyFont="1" applyBorder="1" applyAlignment="1">
      <alignment horizontal="center" vertical="center"/>
    </xf>
    <xf numFmtId="14" fontId="102" fillId="0" borderId="185" xfId="0" applyNumberFormat="1" applyFont="1" applyBorder="1" applyAlignment="1">
      <alignment horizontal="center" vertical="center"/>
    </xf>
    <xf numFmtId="2" fontId="49" fillId="0" borderId="185" xfId="0" applyNumberFormat="1" applyFont="1" applyBorder="1" applyAlignment="1">
      <alignment horizontal="center" vertical="center"/>
    </xf>
    <xf numFmtId="179" fontId="49" fillId="0" borderId="185" xfId="0" applyNumberFormat="1" applyFont="1" applyBorder="1" applyAlignment="1">
      <alignment horizontal="center" vertical="center"/>
    </xf>
    <xf numFmtId="3" fontId="49" fillId="0" borderId="185" xfId="0" applyNumberFormat="1" applyFont="1" applyBorder="1" applyAlignment="1">
      <alignment horizontal="center" vertical="center"/>
    </xf>
    <xf numFmtId="0" fontId="49" fillId="0" borderId="186" xfId="0" applyFont="1" applyBorder="1" applyAlignment="1">
      <alignment horizontal="center"/>
    </xf>
    <xf numFmtId="0" fontId="102" fillId="0" borderId="187" xfId="0" applyFont="1" applyBorder="1" applyAlignment="1">
      <alignment horizontal="left"/>
    </xf>
    <xf numFmtId="14" fontId="102" fillId="0" borderId="186" xfId="0" applyNumberFormat="1" applyFont="1" applyBorder="1" applyAlignment="1">
      <alignment horizontal="center" vertical="center"/>
    </xf>
    <xf numFmtId="0" fontId="102" fillId="0" borderId="187" xfId="0" applyFont="1" applyBorder="1" applyAlignment="1">
      <alignment horizontal="center"/>
    </xf>
    <xf numFmtId="2" fontId="48" fillId="0" borderId="184" xfId="0" applyNumberFormat="1" applyFont="1" applyBorder="1" applyAlignment="1">
      <alignment horizontal="right"/>
    </xf>
    <xf numFmtId="2" fontId="49" fillId="0" borderId="187" xfId="0" applyNumberFormat="1" applyFont="1" applyBorder="1"/>
    <xf numFmtId="2" fontId="49" fillId="0" borderId="184" xfId="0" applyNumberFormat="1" applyFont="1" applyBorder="1"/>
    <xf numFmtId="0" fontId="49" fillId="0" borderId="187" xfId="0" applyFont="1" applyBorder="1" applyAlignment="1">
      <alignment horizontal="center" vertical="center"/>
    </xf>
    <xf numFmtId="0" fontId="102" fillId="0" borderId="186" xfId="0" applyFont="1" applyBorder="1" applyAlignment="1">
      <alignment horizontal="right"/>
    </xf>
    <xf numFmtId="168" fontId="7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68" fontId="7" fillId="7" borderId="0" xfId="0" applyNumberFormat="1" applyFont="1" applyFill="1" applyAlignment="1">
      <alignment horizontal="center"/>
    </xf>
    <xf numFmtId="0" fontId="243" fillId="0" borderId="0" xfId="0" applyFont="1" applyAlignment="1">
      <alignment horizontal="center"/>
    </xf>
    <xf numFmtId="3" fontId="171" fillId="0" borderId="0" xfId="0" applyNumberFormat="1" applyFont="1" applyAlignment="1">
      <alignment horizontal="center"/>
    </xf>
    <xf numFmtId="0" fontId="79" fillId="12" borderId="27" xfId="0" applyFont="1" applyFill="1" applyBorder="1" applyAlignment="1">
      <alignment horizontal="center" vertical="center"/>
    </xf>
    <xf numFmtId="0" fontId="79" fillId="12" borderId="93" xfId="0" applyFont="1" applyFill="1" applyBorder="1" applyAlignment="1">
      <alignment horizontal="center" vertical="center"/>
    </xf>
    <xf numFmtId="0" fontId="79" fillId="12" borderId="93" xfId="0" applyFont="1" applyFill="1" applyBorder="1" applyAlignment="1">
      <alignment horizontal="centerContinuous" vertical="center"/>
    </xf>
    <xf numFmtId="0" fontId="79" fillId="12" borderId="30" xfId="0" applyFont="1" applyFill="1" applyBorder="1" applyAlignment="1">
      <alignment horizontal="centerContinuous" vertical="center"/>
    </xf>
    <xf numFmtId="0" fontId="63" fillId="12" borderId="121" xfId="0" applyFont="1" applyFill="1" applyBorder="1" applyAlignment="1">
      <alignment horizontal="center" vertical="top"/>
    </xf>
    <xf numFmtId="0" fontId="63" fillId="12" borderId="91" xfId="0" applyFont="1" applyFill="1" applyBorder="1" applyAlignment="1">
      <alignment horizontal="center" vertical="top"/>
    </xf>
    <xf numFmtId="0" fontId="63" fillId="12" borderId="111" xfId="0" applyFont="1" applyFill="1" applyBorder="1" applyAlignment="1">
      <alignment horizontal="centerContinuous" vertical="top"/>
    </xf>
    <xf numFmtId="0" fontId="63" fillId="12" borderId="115" xfId="0" applyFont="1" applyFill="1" applyBorder="1" applyAlignment="1">
      <alignment horizontal="centerContinuous" vertical="top"/>
    </xf>
    <xf numFmtId="0" fontId="63" fillId="12" borderId="149" xfId="0" applyFont="1" applyFill="1" applyBorder="1" applyAlignment="1">
      <alignment horizontal="centerContinuous" vertical="center"/>
    </xf>
    <xf numFmtId="0" fontId="63" fillId="12" borderId="91" xfId="0" applyFont="1" applyFill="1" applyBorder="1" applyAlignment="1">
      <alignment horizontal="centerContinuous" vertical="top"/>
    </xf>
    <xf numFmtId="0" fontId="63" fillId="12" borderId="92" xfId="0" applyFont="1" applyFill="1" applyBorder="1" applyAlignment="1">
      <alignment horizontal="centerContinuous" vertical="top"/>
    </xf>
    <xf numFmtId="19" fontId="39" fillId="0" borderId="0" xfId="0" applyNumberFormat="1" applyFont="1" applyAlignment="1">
      <alignment horizontal="center" vertical="center"/>
    </xf>
    <xf numFmtId="0" fontId="48" fillId="0" borderId="110" xfId="0" applyFont="1" applyBorder="1" applyAlignment="1">
      <alignment horizontal="right"/>
    </xf>
    <xf numFmtId="0" fontId="302" fillId="0" borderId="0" xfId="0" applyFont="1" applyAlignment="1">
      <alignment horizontal="centerContinuous" vertical="center"/>
    </xf>
    <xf numFmtId="0" fontId="303" fillId="0" borderId="0" xfId="0" applyFont="1" applyAlignment="1">
      <alignment horizontal="centerContinuous" vertical="center"/>
    </xf>
    <xf numFmtId="4" fontId="303" fillId="0" borderId="0" xfId="0" applyNumberFormat="1" applyFont="1" applyAlignment="1">
      <alignment horizontal="centerContinuous" vertical="center"/>
    </xf>
    <xf numFmtId="4" fontId="0" fillId="0" borderId="0" xfId="0" applyNumberFormat="1" applyAlignment="1">
      <alignment horizontal="right" vertical="center"/>
    </xf>
    <xf numFmtId="4" fontId="49" fillId="0" borderId="0" xfId="0" applyNumberFormat="1" applyFont="1" applyAlignment="1">
      <alignment horizontal="right" vertical="center"/>
    </xf>
    <xf numFmtId="0" fontId="49" fillId="0" borderId="193" xfId="0" applyFont="1" applyBorder="1" applyAlignment="1">
      <alignment horizontal="left"/>
    </xf>
    <xf numFmtId="0" fontId="49" fillId="0" borderId="194" xfId="0" applyFont="1" applyBorder="1" applyAlignment="1">
      <alignment horizontal="center"/>
    </xf>
    <xf numFmtId="0" fontId="102" fillId="0" borderId="103" xfId="0" applyFont="1" applyBorder="1" applyAlignment="1">
      <alignment horizontal="center" vertical="center"/>
    </xf>
    <xf numFmtId="4" fontId="102" fillId="0" borderId="103" xfId="0" applyNumberFormat="1" applyFont="1" applyBorder="1" applyAlignment="1">
      <alignment horizontal="center" vertical="center"/>
    </xf>
    <xf numFmtId="0" fontId="175" fillId="5" borderId="185" xfId="0" applyFont="1" applyFill="1" applyBorder="1" applyAlignment="1">
      <alignment horizontal="center" vertical="center"/>
    </xf>
    <xf numFmtId="0" fontId="285" fillId="5" borderId="197" xfId="0" applyFont="1" applyFill="1" applyBorder="1" applyAlignment="1">
      <alignment horizontal="left" vertical="center"/>
    </xf>
    <xf numFmtId="0" fontId="283" fillId="0" borderId="0" xfId="0" applyFont="1" applyAlignment="1">
      <alignment horizontal="center" vertical="center"/>
    </xf>
    <xf numFmtId="0" fontId="286" fillId="5" borderId="197" xfId="0" applyFont="1" applyFill="1" applyBorder="1" applyAlignment="1">
      <alignment horizontal="center" vertical="center"/>
    </xf>
    <xf numFmtId="0" fontId="128" fillId="5" borderId="0" xfId="0" applyFont="1" applyFill="1" applyAlignment="1">
      <alignment horizontal="left" vertical="center"/>
    </xf>
    <xf numFmtId="0" fontId="48" fillId="5" borderId="0" xfId="0" applyFont="1" applyFill="1" applyAlignment="1">
      <alignment vertical="top" wrapText="1"/>
    </xf>
    <xf numFmtId="0" fontId="48" fillId="5" borderId="0" xfId="0" applyFont="1" applyFill="1" applyAlignment="1">
      <alignment vertical="top"/>
    </xf>
    <xf numFmtId="0" fontId="283" fillId="5" borderId="197" xfId="0" applyFont="1" applyFill="1" applyBorder="1" applyAlignment="1">
      <alignment horizontal="center" vertical="center" wrapText="1"/>
    </xf>
    <xf numFmtId="0" fontId="48" fillId="5" borderId="0" xfId="0" applyFont="1" applyFill="1" applyAlignment="1">
      <alignment horizontal="center" vertical="center" wrapText="1"/>
    </xf>
    <xf numFmtId="0" fontId="44" fillId="5" borderId="197" xfId="0" applyFont="1" applyFill="1" applyBorder="1"/>
    <xf numFmtId="0" fontId="39" fillId="0" borderId="196" xfId="0" applyFont="1" applyBorder="1"/>
    <xf numFmtId="0" fontId="39" fillId="0" borderId="197" xfId="0" applyFont="1" applyBorder="1"/>
    <xf numFmtId="0" fontId="63" fillId="12" borderId="135" xfId="0" applyFont="1" applyFill="1" applyBorder="1" applyAlignment="1">
      <alignment horizontal="center" vertical="top"/>
    </xf>
    <xf numFmtId="0" fontId="48" fillId="0" borderId="110" xfId="0" applyFont="1" applyBorder="1"/>
    <xf numFmtId="0" fontId="218" fillId="0" borderId="0" xfId="0" applyFont="1" applyAlignment="1">
      <alignment horizontal="centerContinuous" vertical="top"/>
    </xf>
    <xf numFmtId="0" fontId="146" fillId="0" borderId="96" xfId="0" applyFont="1" applyBorder="1" applyAlignment="1">
      <alignment horizontal="center" vertical="center"/>
    </xf>
    <xf numFmtId="0" fontId="119" fillId="0" borderId="96" xfId="0" applyFont="1" applyBorder="1" applyAlignment="1">
      <alignment horizontal="center" vertical="top"/>
    </xf>
    <xf numFmtId="0" fontId="39" fillId="5" borderId="0" xfId="0" applyFont="1" applyFill="1" applyAlignment="1">
      <alignment horizontal="center" vertical="center"/>
    </xf>
    <xf numFmtId="0" fontId="220" fillId="12" borderId="123" xfId="0" applyFont="1" applyFill="1" applyBorder="1" applyAlignment="1">
      <alignment horizontal="center" vertical="center"/>
    </xf>
    <xf numFmtId="14" fontId="64" fillId="0" borderId="0" xfId="0" applyNumberFormat="1" applyFont="1" applyAlignment="1">
      <alignment horizontal="center" vertical="center"/>
    </xf>
    <xf numFmtId="0" fontId="102" fillId="0" borderId="103" xfId="0" applyFont="1" applyBorder="1" applyAlignment="1">
      <alignment vertical="center" wrapText="1"/>
    </xf>
    <xf numFmtId="0" fontId="48" fillId="5" borderId="0" xfId="0" applyFont="1" applyFill="1" applyAlignment="1">
      <alignment horizontal="center" vertical="center"/>
    </xf>
    <xf numFmtId="0" fontId="79" fillId="12" borderId="149" xfId="0" applyFont="1" applyFill="1" applyBorder="1" applyAlignment="1">
      <alignment horizontal="center" vertical="top"/>
    </xf>
    <xf numFmtId="0" fontId="63" fillId="12" borderId="150" xfId="0" applyFont="1" applyFill="1" applyBorder="1" applyAlignment="1">
      <alignment horizontal="center" vertical="top"/>
    </xf>
    <xf numFmtId="169" fontId="102" fillId="0" borderId="0" xfId="0" applyNumberFormat="1" applyFont="1" applyAlignment="1">
      <alignment vertical="center"/>
    </xf>
    <xf numFmtId="169" fontId="49" fillId="0" borderId="112" xfId="0" applyNumberFormat="1" applyFont="1" applyBorder="1" applyAlignment="1">
      <alignment horizontal="center" vertical="center"/>
    </xf>
    <xf numFmtId="169" fontId="49" fillId="0" borderId="117" xfId="0" applyNumberFormat="1" applyFont="1" applyBorder="1" applyAlignment="1">
      <alignment horizontal="right" vertical="center"/>
    </xf>
    <xf numFmtId="0" fontId="63" fillId="12" borderId="200" xfId="0" applyFont="1" applyFill="1" applyBorder="1" applyAlignment="1">
      <alignment horizontal="center" vertical="top"/>
    </xf>
    <xf numFmtId="0" fontId="79" fillId="12" borderId="200" xfId="0" applyFont="1" applyFill="1" applyBorder="1" applyAlignment="1">
      <alignment horizontal="center" vertical="top"/>
    </xf>
    <xf numFmtId="181" fontId="49" fillId="0" borderId="0" xfId="0" applyNumberFormat="1" applyFont="1" applyAlignment="1">
      <alignment horizontal="center" vertical="center"/>
    </xf>
    <xf numFmtId="0" fontId="79" fillId="12" borderId="111" xfId="0" applyFont="1" applyFill="1" applyBorder="1" applyAlignment="1">
      <alignment horizontal="centerContinuous"/>
    </xf>
    <xf numFmtId="0" fontId="79" fillId="12" borderId="111" xfId="0" applyFont="1" applyFill="1" applyBorder="1" applyAlignment="1">
      <alignment horizontal="center"/>
    </xf>
    <xf numFmtId="0" fontId="79" fillId="12" borderId="123" xfId="0" applyFont="1" applyFill="1" applyBorder="1" applyAlignment="1">
      <alignment horizontal="centerContinuous"/>
    </xf>
    <xf numFmtId="0" fontId="79" fillId="12" borderId="123" xfId="0" applyFont="1" applyFill="1" applyBorder="1" applyAlignment="1">
      <alignment horizontal="center" vertical="center"/>
    </xf>
    <xf numFmtId="0" fontId="93" fillId="12" borderId="123" xfId="0" applyFont="1" applyFill="1" applyBorder="1" applyAlignment="1">
      <alignment horizontal="center" vertical="center"/>
    </xf>
    <xf numFmtId="0" fontId="223" fillId="0" borderId="0" xfId="0" applyFont="1" applyAlignment="1">
      <alignment horizontal="left"/>
    </xf>
    <xf numFmtId="4" fontId="49" fillId="0" borderId="0" xfId="0" applyNumberFormat="1" applyFont="1" applyAlignment="1">
      <alignment horizontal="right"/>
    </xf>
    <xf numFmtId="0" fontId="79" fillId="12" borderId="123" xfId="0" applyFont="1" applyFill="1" applyBorder="1" applyAlignment="1">
      <alignment horizontal="center"/>
    </xf>
    <xf numFmtId="0" fontId="79" fillId="12" borderId="110" xfId="0" applyFont="1" applyFill="1" applyBorder="1" applyAlignment="1">
      <alignment horizontal="centerContinuous"/>
    </xf>
    <xf numFmtId="0" fontId="93" fillId="12" borderId="113" xfId="0" applyFont="1" applyFill="1" applyBorder="1" applyAlignment="1">
      <alignment horizontal="center" vertical="center"/>
    </xf>
    <xf numFmtId="0" fontId="93" fillId="12" borderId="113" xfId="0" applyFont="1" applyFill="1" applyBorder="1" applyAlignment="1">
      <alignment horizontal="centerContinuous" vertical="top"/>
    </xf>
    <xf numFmtId="0" fontId="93" fillId="12" borderId="0" xfId="0" applyFont="1" applyFill="1" applyAlignment="1">
      <alignment horizontal="centerContinuous" vertical="top"/>
    </xf>
    <xf numFmtId="0" fontId="93" fillId="12" borderId="114" xfId="0" applyFont="1" applyFill="1" applyBorder="1" applyAlignment="1">
      <alignment horizontal="centerContinuous" vertical="top"/>
    </xf>
    <xf numFmtId="0" fontId="303" fillId="0" borderId="0" xfId="0" applyFont="1" applyAlignment="1">
      <alignment vertical="center"/>
    </xf>
    <xf numFmtId="169" fontId="49" fillId="0" borderId="117" xfId="0" applyNumberFormat="1" applyFont="1" applyBorder="1" applyAlignment="1">
      <alignment horizontal="center" vertical="center"/>
    </xf>
    <xf numFmtId="0" fontId="104" fillId="4" borderId="0" xfId="0" applyFont="1" applyFill="1" applyAlignment="1">
      <alignment horizontal="center"/>
    </xf>
    <xf numFmtId="0" fontId="104" fillId="13" borderId="0" xfId="0" applyFont="1" applyFill="1" applyAlignment="1">
      <alignment horizontal="center"/>
    </xf>
    <xf numFmtId="0" fontId="104" fillId="14" borderId="0" xfId="0" applyFont="1" applyFill="1" applyAlignment="1">
      <alignment horizontal="center"/>
    </xf>
    <xf numFmtId="0" fontId="102" fillId="4" borderId="123" xfId="0" applyFont="1" applyFill="1" applyBorder="1" applyAlignment="1">
      <alignment horizontal="center" vertical="center"/>
    </xf>
    <xf numFmtId="0" fontId="93" fillId="12" borderId="149" xfId="0" applyFont="1" applyFill="1" applyBorder="1" applyAlignment="1">
      <alignment horizontal="center" vertical="center"/>
    </xf>
    <xf numFmtId="169" fontId="49" fillId="0" borderId="201" xfId="0" applyNumberFormat="1" applyFont="1" applyBorder="1" applyAlignment="1">
      <alignment horizontal="center" vertical="center"/>
    </xf>
    <xf numFmtId="169" fontId="49" fillId="0" borderId="202" xfId="0" applyNumberFormat="1" applyFont="1" applyBorder="1" applyAlignment="1">
      <alignment horizontal="center" vertical="center"/>
    </xf>
    <xf numFmtId="169" fontId="49" fillId="0" borderId="203" xfId="0" applyNumberFormat="1" applyFont="1" applyBorder="1" applyAlignment="1">
      <alignment horizontal="right" vertical="center"/>
    </xf>
    <xf numFmtId="169" fontId="49" fillId="0" borderId="204" xfId="0" applyNumberFormat="1" applyFont="1" applyBorder="1" applyAlignment="1">
      <alignment horizontal="right" vertical="center"/>
    </xf>
    <xf numFmtId="169" fontId="49" fillId="0" borderId="205" xfId="0" applyNumberFormat="1" applyFont="1" applyBorder="1" applyAlignment="1">
      <alignment horizontal="center" vertical="center"/>
    </xf>
    <xf numFmtId="169" fontId="49" fillId="0" borderId="206" xfId="0" applyNumberFormat="1" applyFont="1" applyBorder="1" applyAlignment="1">
      <alignment horizontal="right" vertical="center"/>
    </xf>
    <xf numFmtId="169" fontId="0" fillId="0" borderId="207" xfId="0" applyNumberFormat="1" applyBorder="1" applyAlignment="1">
      <alignment horizontal="center" vertical="center"/>
    </xf>
    <xf numFmtId="169" fontId="0" fillId="0" borderId="208" xfId="0" applyNumberFormat="1" applyBorder="1" applyAlignment="1">
      <alignment horizontal="center" vertical="center"/>
    </xf>
    <xf numFmtId="169" fontId="0" fillId="0" borderId="208" xfId="0" applyNumberFormat="1" applyBorder="1" applyAlignment="1">
      <alignment horizontal="right" vertical="center"/>
    </xf>
    <xf numFmtId="169" fontId="0" fillId="0" borderId="209" xfId="0" applyNumberFormat="1" applyBorder="1" applyAlignment="1">
      <alignment horizontal="right" vertical="center"/>
    </xf>
    <xf numFmtId="0" fontId="102" fillId="0" borderId="123" xfId="0" applyFont="1" applyBorder="1" applyAlignment="1">
      <alignment horizontal="center" vertical="center"/>
    </xf>
    <xf numFmtId="169" fontId="49" fillId="0" borderId="103" xfId="0" applyNumberFormat="1" applyFont="1" applyBorder="1" applyAlignment="1">
      <alignment vertical="center"/>
    </xf>
    <xf numFmtId="169" fontId="102" fillId="0" borderId="103" xfId="0" applyNumberFormat="1" applyFont="1" applyBorder="1" applyAlignment="1">
      <alignment vertical="center"/>
    </xf>
    <xf numFmtId="0" fontId="49" fillId="0" borderId="112" xfId="0" applyFont="1" applyBorder="1" applyAlignment="1">
      <alignment horizontal="center" vertical="center"/>
    </xf>
    <xf numFmtId="0" fontId="49" fillId="0" borderId="123" xfId="0" applyFont="1" applyBorder="1" applyAlignment="1">
      <alignment horizontal="center" vertical="center"/>
    </xf>
    <xf numFmtId="0" fontId="93" fillId="0" borderId="0" xfId="0" applyFont="1" applyAlignment="1">
      <alignment horizontal="center"/>
    </xf>
    <xf numFmtId="0" fontId="93" fillId="0" borderId="118" xfId="0" applyFont="1" applyBorder="1" applyAlignment="1">
      <alignment vertical="center" wrapText="1"/>
    </xf>
    <xf numFmtId="0" fontId="67" fillId="12" borderId="149" xfId="0" applyFont="1" applyFill="1" applyBorder="1" applyAlignment="1">
      <alignment horizontal="center" vertical="top"/>
    </xf>
    <xf numFmtId="181" fontId="102" fillId="0" borderId="0" xfId="0" applyNumberFormat="1" applyFont="1" applyAlignment="1">
      <alignment horizontal="center" vertical="center"/>
    </xf>
    <xf numFmtId="4" fontId="102" fillId="0" borderId="0" xfId="0" applyNumberFormat="1" applyFont="1" applyAlignment="1">
      <alignment horizontal="center" vertical="center"/>
    </xf>
    <xf numFmtId="22" fontId="102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79" fillId="12" borderId="149" xfId="0" applyFont="1" applyFill="1" applyBorder="1" applyAlignment="1">
      <alignment horizontal="center"/>
    </xf>
    <xf numFmtId="0" fontId="22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93" fillId="3" borderId="0" xfId="0" applyFont="1" applyFill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102" fillId="3" borderId="0" xfId="0" applyFont="1" applyFill="1" applyAlignment="1">
      <alignment horizontal="left" vertical="center"/>
    </xf>
    <xf numFmtId="4" fontId="49" fillId="3" borderId="0" xfId="0" applyNumberFormat="1" applyFont="1" applyFill="1" applyAlignment="1">
      <alignment horizontal="right" vertical="center"/>
    </xf>
    <xf numFmtId="181" fontId="49" fillId="3" borderId="0" xfId="0" applyNumberFormat="1" applyFont="1" applyFill="1" applyAlignment="1">
      <alignment horizontal="center" vertical="center"/>
    </xf>
    <xf numFmtId="0" fontId="0" fillId="3" borderId="0" xfId="0" applyFill="1"/>
    <xf numFmtId="0" fontId="9" fillId="0" borderId="123" xfId="0" applyFont="1" applyBorder="1" applyAlignment="1">
      <alignment horizontal="center" vertical="center"/>
    </xf>
    <xf numFmtId="4" fontId="86" fillId="0" borderId="0" xfId="0" applyNumberFormat="1" applyFont="1" applyAlignment="1">
      <alignment horizontal="right" vertical="center"/>
    </xf>
    <xf numFmtId="4" fontId="86" fillId="3" borderId="0" xfId="0" applyNumberFormat="1" applyFont="1" applyFill="1" applyAlignment="1">
      <alignment horizontal="right" vertical="center"/>
    </xf>
    <xf numFmtId="4" fontId="49" fillId="0" borderId="12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79" fillId="12" borderId="79" xfId="0" applyFont="1" applyFill="1" applyBorder="1" applyAlignment="1">
      <alignment horizontal="center"/>
    </xf>
    <xf numFmtId="0" fontId="79" fillId="12" borderId="214" xfId="0" applyFont="1" applyFill="1" applyBorder="1" applyAlignment="1">
      <alignment horizontal="center"/>
    </xf>
    <xf numFmtId="0" fontId="79" fillId="12" borderId="215" xfId="0" applyFont="1" applyFill="1" applyBorder="1" applyAlignment="1">
      <alignment horizontal="center"/>
    </xf>
    <xf numFmtId="0" fontId="302" fillId="7" borderId="0" xfId="0" applyFont="1" applyFill="1" applyAlignment="1">
      <alignment horizontal="left" vertical="center"/>
    </xf>
    <xf numFmtId="0" fontId="180" fillId="7" borderId="0" xfId="0" applyFont="1" applyFill="1" applyAlignment="1">
      <alignment horizontal="center" vertical="center"/>
    </xf>
    <xf numFmtId="0" fontId="63" fillId="12" borderId="211" xfId="0" applyFont="1" applyFill="1" applyBorder="1" applyAlignment="1">
      <alignment horizontal="center" vertical="top"/>
    </xf>
    <xf numFmtId="0" fontId="63" fillId="12" borderId="212" xfId="0" applyFont="1" applyFill="1" applyBorder="1" applyAlignment="1">
      <alignment horizontal="center" vertical="top"/>
    </xf>
    <xf numFmtId="0" fontId="63" fillId="12" borderId="213" xfId="0" applyFont="1" applyFill="1" applyBorder="1" applyAlignment="1">
      <alignment horizontal="center" vertical="top"/>
    </xf>
    <xf numFmtId="0" fontId="308" fillId="0" borderId="0" xfId="0" applyFont="1" applyAlignment="1">
      <alignment horizontal="right" vertical="center"/>
    </xf>
    <xf numFmtId="0" fontId="197" fillId="0" borderId="102" xfId="0" applyFont="1" applyBorder="1" applyAlignment="1">
      <alignment horizontal="center" vertical="center"/>
    </xf>
    <xf numFmtId="0" fontId="197" fillId="0" borderId="103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308" fillId="0" borderId="0" xfId="0" applyFont="1" applyAlignment="1">
      <alignment horizontal="right"/>
    </xf>
    <xf numFmtId="0" fontId="215" fillId="0" borderId="0" xfId="0" applyFont="1" applyAlignment="1">
      <alignment horizontal="right" vertical="center"/>
    </xf>
    <xf numFmtId="0" fontId="310" fillId="0" borderId="0" xfId="0" applyFont="1" applyAlignment="1">
      <alignment horizontal="center" vertical="center"/>
    </xf>
    <xf numFmtId="0" fontId="79" fillId="12" borderId="210" xfId="0" applyFont="1" applyFill="1" applyBorder="1" applyAlignment="1">
      <alignment horizontal="center"/>
    </xf>
    <xf numFmtId="0" fontId="242" fillId="0" borderId="0" xfId="0" applyFont="1" applyAlignment="1">
      <alignment horizontal="center"/>
    </xf>
    <xf numFmtId="0" fontId="102" fillId="0" borderId="0" xfId="0" applyFont="1" applyAlignment="1">
      <alignment horizontal="center" vertical="top"/>
    </xf>
    <xf numFmtId="0" fontId="63" fillId="12" borderId="214" xfId="0" applyFont="1" applyFill="1" applyBorder="1" applyAlignment="1">
      <alignment horizontal="center" vertical="top"/>
    </xf>
    <xf numFmtId="0" fontId="63" fillId="12" borderId="210" xfId="0" applyFont="1" applyFill="1" applyBorder="1" applyAlignment="1">
      <alignment horizontal="center" vertical="top"/>
    </xf>
    <xf numFmtId="49" fontId="102" fillId="0" borderId="0" xfId="0" applyNumberFormat="1" applyFont="1" applyAlignment="1">
      <alignment horizontal="center" vertical="center"/>
    </xf>
    <xf numFmtId="0" fontId="39" fillId="0" borderId="42" xfId="0" applyFont="1" applyBorder="1" applyAlignment="1">
      <alignment horizontal="center" vertical="center"/>
    </xf>
    <xf numFmtId="0" fontId="39" fillId="0" borderId="50" xfId="0" applyFont="1" applyBorder="1" applyAlignment="1">
      <alignment horizontal="center" vertical="center"/>
    </xf>
    <xf numFmtId="0" fontId="50" fillId="0" borderId="41" xfId="0" applyFont="1" applyBorder="1" applyAlignment="1">
      <alignment horizontal="center" vertical="top"/>
    </xf>
    <xf numFmtId="0" fontId="50" fillId="0" borderId="46" xfId="0" applyFont="1" applyBorder="1" applyAlignment="1">
      <alignment horizontal="center" vertical="top"/>
    </xf>
    <xf numFmtId="0" fontId="42" fillId="0" borderId="0" xfId="0" applyFont="1" applyAlignment="1">
      <alignment horizontal="left" vertical="top"/>
    </xf>
    <xf numFmtId="0" fontId="44" fillId="0" borderId="0" xfId="0" applyFont="1" applyAlignment="1">
      <alignment horizontal="center"/>
    </xf>
    <xf numFmtId="0" fontId="39" fillId="0" borderId="49" xfId="0" applyFont="1" applyBorder="1" applyAlignment="1">
      <alignment horizontal="center" vertical="center"/>
    </xf>
    <xf numFmtId="0" fontId="48" fillId="0" borderId="0" xfId="0" applyFont="1" applyAlignment="1">
      <alignment horizontal="right" vertical="center"/>
    </xf>
    <xf numFmtId="0" fontId="50" fillId="0" borderId="45" xfId="0" applyFont="1" applyBorder="1" applyAlignment="1">
      <alignment horizontal="center" vertical="top"/>
    </xf>
    <xf numFmtId="0" fontId="63" fillId="12" borderId="0" xfId="0" applyFont="1" applyFill="1" applyAlignment="1">
      <alignment horizontal="center" vertical="top"/>
    </xf>
    <xf numFmtId="0" fontId="63" fillId="12" borderId="92" xfId="0" applyFont="1" applyFill="1" applyBorder="1" applyAlignment="1">
      <alignment horizontal="center" vertical="top"/>
    </xf>
    <xf numFmtId="0" fontId="63" fillId="12" borderId="91" xfId="0" applyFont="1" applyFill="1" applyBorder="1" applyAlignment="1">
      <alignment horizontal="center" vertical="top"/>
    </xf>
    <xf numFmtId="0" fontId="48" fillId="0" borderId="0" xfId="0" applyFont="1" applyAlignment="1">
      <alignment horizontal="left" vertical="top"/>
    </xf>
    <xf numFmtId="0" fontId="42" fillId="0" borderId="0" xfId="0" applyFont="1" applyAlignment="1">
      <alignment horizontal="left" vertical="center"/>
    </xf>
    <xf numFmtId="0" fontId="79" fillId="12" borderId="93" xfId="0" applyFont="1" applyFill="1" applyBorder="1" applyAlignment="1">
      <alignment horizontal="center" vertical="center"/>
    </xf>
    <xf numFmtId="0" fontId="79" fillId="12" borderId="30" xfId="0" applyFont="1" applyFill="1" applyBorder="1" applyAlignment="1">
      <alignment horizontal="center" vertical="center"/>
    </xf>
    <xf numFmtId="49" fontId="48" fillId="5" borderId="93" xfId="0" applyNumberFormat="1" applyFont="1" applyFill="1" applyBorder="1" applyAlignment="1">
      <alignment horizontal="left" vertical="top" wrapText="1"/>
    </xf>
    <xf numFmtId="49" fontId="48" fillId="5" borderId="29" xfId="0" applyNumberFormat="1" applyFont="1" applyFill="1" applyBorder="1" applyAlignment="1">
      <alignment horizontal="left" vertical="top" wrapText="1"/>
    </xf>
    <xf numFmtId="49" fontId="48" fillId="5" borderId="30" xfId="0" applyNumberFormat="1" applyFont="1" applyFill="1" applyBorder="1" applyAlignment="1">
      <alignment horizontal="left" vertical="top" wrapText="1"/>
    </xf>
    <xf numFmtId="49" fontId="48" fillId="5" borderId="91" xfId="0" applyNumberFormat="1" applyFont="1" applyFill="1" applyBorder="1" applyAlignment="1">
      <alignment horizontal="left" vertical="top" wrapText="1"/>
    </xf>
    <xf numFmtId="49" fontId="48" fillId="5" borderId="0" xfId="0" applyNumberFormat="1" applyFont="1" applyFill="1" applyAlignment="1">
      <alignment horizontal="left" vertical="top" wrapText="1"/>
    </xf>
    <xf numFmtId="49" fontId="48" fillId="5" borderId="92" xfId="0" applyNumberFormat="1" applyFont="1" applyFill="1" applyBorder="1" applyAlignment="1">
      <alignment horizontal="left" vertical="top" wrapText="1"/>
    </xf>
    <xf numFmtId="49" fontId="48" fillId="5" borderId="31" xfId="0" applyNumberFormat="1" applyFont="1" applyFill="1" applyBorder="1" applyAlignment="1">
      <alignment horizontal="left" vertical="top" wrapText="1"/>
    </xf>
    <xf numFmtId="49" fontId="48" fillId="5" borderId="25" xfId="0" applyNumberFormat="1" applyFont="1" applyFill="1" applyBorder="1" applyAlignment="1">
      <alignment horizontal="left" vertical="top" wrapText="1"/>
    </xf>
    <xf numFmtId="49" fontId="48" fillId="5" borderId="32" xfId="0" applyNumberFormat="1" applyFont="1" applyFill="1" applyBorder="1" applyAlignment="1">
      <alignment horizontal="left" vertical="top" wrapText="1"/>
    </xf>
    <xf numFmtId="168" fontId="292" fillId="0" borderId="117" xfId="0" applyNumberFormat="1" applyFont="1" applyBorder="1" applyAlignment="1">
      <alignment horizontal="center" vertical="center"/>
    </xf>
    <xf numFmtId="168" fontId="292" fillId="0" borderId="103" xfId="0" applyNumberFormat="1" applyFont="1" applyBorder="1" applyAlignment="1">
      <alignment horizontal="center" vertical="center"/>
    </xf>
    <xf numFmtId="168" fontId="292" fillId="0" borderId="112" xfId="0" applyNumberFormat="1" applyFont="1" applyBorder="1" applyAlignment="1">
      <alignment horizontal="center" vertical="center"/>
    </xf>
    <xf numFmtId="0" fontId="293" fillId="0" borderId="175" xfId="0" applyFont="1" applyBorder="1" applyAlignment="1">
      <alignment horizontal="left"/>
    </xf>
    <xf numFmtId="0" fontId="293" fillId="0" borderId="176" xfId="0" applyFont="1" applyBorder="1" applyAlignment="1">
      <alignment horizontal="left"/>
    </xf>
    <xf numFmtId="0" fontId="293" fillId="0" borderId="177" xfId="0" applyFont="1" applyBorder="1" applyAlignment="1">
      <alignment horizontal="left"/>
    </xf>
    <xf numFmtId="0" fontId="305" fillId="0" borderId="0" xfId="0" applyFont="1" applyAlignment="1">
      <alignment horizontal="center"/>
    </xf>
    <xf numFmtId="0" fontId="208" fillId="9" borderId="136" xfId="0" applyFont="1" applyFill="1" applyBorder="1" applyAlignment="1">
      <alignment horizontal="center"/>
    </xf>
    <xf numFmtId="0" fontId="208" fillId="9" borderId="0" xfId="0" applyFont="1" applyFill="1" applyAlignment="1">
      <alignment horizontal="center"/>
    </xf>
    <xf numFmtId="0" fontId="117" fillId="9" borderId="136" xfId="0" applyFont="1" applyFill="1" applyBorder="1" applyAlignment="1">
      <alignment horizontal="center" vertical="top"/>
    </xf>
    <xf numFmtId="0" fontId="117" fillId="9" borderId="0" xfId="0" applyFont="1" applyFill="1" applyAlignment="1">
      <alignment horizontal="center" vertical="top"/>
    </xf>
    <xf numFmtId="0" fontId="237" fillId="0" borderId="0" xfId="0" applyFont="1" applyAlignment="1">
      <alignment horizontal="center"/>
    </xf>
    <xf numFmtId="0" fontId="178" fillId="0" borderId="0" xfId="0" applyFont="1" applyAlignment="1">
      <alignment horizontal="center" vertical="top"/>
    </xf>
    <xf numFmtId="0" fontId="48" fillId="0" borderId="57" xfId="0" applyFont="1" applyBorder="1" applyAlignment="1">
      <alignment horizontal="center" vertical="center"/>
    </xf>
    <xf numFmtId="0" fontId="177" fillId="0" borderId="0" xfId="0" applyFont="1" applyAlignment="1">
      <alignment horizontal="center" vertical="top"/>
    </xf>
    <xf numFmtId="0" fontId="178" fillId="0" borderId="0" xfId="0" applyFont="1" applyAlignment="1">
      <alignment horizontal="center"/>
    </xf>
    <xf numFmtId="0" fontId="48" fillId="5" borderId="186" xfId="0" applyFont="1" applyFill="1" applyBorder="1" applyAlignment="1">
      <alignment horizontal="left" vertical="center"/>
    </xf>
    <xf numFmtId="0" fontId="48" fillId="5" borderId="184" xfId="0" applyFont="1" applyFill="1" applyBorder="1" applyAlignment="1">
      <alignment horizontal="left" vertical="center"/>
    </xf>
    <xf numFmtId="0" fontId="48" fillId="5" borderId="187" xfId="0" applyFont="1" applyFill="1" applyBorder="1" applyAlignment="1">
      <alignment horizontal="left" vertical="center"/>
    </xf>
    <xf numFmtId="0" fontId="102" fillId="0" borderId="117" xfId="0" applyFont="1" applyBorder="1" applyAlignment="1">
      <alignment horizontal="left" vertical="center"/>
    </xf>
    <xf numFmtId="0" fontId="102" fillId="0" borderId="103" xfId="0" applyFont="1" applyBorder="1" applyAlignment="1">
      <alignment horizontal="left" vertical="center"/>
    </xf>
    <xf numFmtId="0" fontId="102" fillId="0" borderId="112" xfId="0" applyFont="1" applyBorder="1" applyAlignment="1">
      <alignment horizontal="left" vertical="center"/>
    </xf>
    <xf numFmtId="0" fontId="49" fillId="0" borderId="117" xfId="0" applyFont="1" applyBorder="1" applyAlignment="1">
      <alignment horizontal="left" vertical="center"/>
    </xf>
    <xf numFmtId="0" fontId="49" fillId="0" borderId="103" xfId="0" applyFont="1" applyBorder="1" applyAlignment="1">
      <alignment horizontal="left" vertical="center"/>
    </xf>
    <xf numFmtId="0" fontId="124" fillId="0" borderId="42" xfId="0" applyFont="1" applyBorder="1" applyAlignment="1">
      <alignment horizontal="center" vertical="center"/>
    </xf>
    <xf numFmtId="0" fontId="124" fillId="0" borderId="50" xfId="0" applyFont="1" applyBorder="1" applyAlignment="1">
      <alignment horizontal="center" vertical="center"/>
    </xf>
    <xf numFmtId="0" fontId="188" fillId="0" borderId="41" xfId="0" applyFont="1" applyBorder="1" applyAlignment="1">
      <alignment horizontal="center" vertical="top"/>
    </xf>
    <xf numFmtId="0" fontId="188" fillId="0" borderId="46" xfId="0" applyFont="1" applyBorder="1" applyAlignment="1">
      <alignment horizontal="center" vertical="top"/>
    </xf>
    <xf numFmtId="0" fontId="124" fillId="0" borderId="49" xfId="0" applyFont="1" applyBorder="1" applyAlignment="1">
      <alignment horizontal="center" vertical="center"/>
    </xf>
    <xf numFmtId="0" fontId="188" fillId="0" borderId="45" xfId="0" applyFont="1" applyBorder="1" applyAlignment="1">
      <alignment horizontal="center" vertical="top"/>
    </xf>
    <xf numFmtId="49" fontId="228" fillId="0" borderId="0" xfId="0" applyNumberFormat="1" applyFont="1" applyAlignment="1">
      <alignment horizontal="center"/>
    </xf>
    <xf numFmtId="0" fontId="49" fillId="0" borderId="122" xfId="0" applyFont="1" applyBorder="1" applyAlignment="1">
      <alignment horizontal="center" vertical="center"/>
    </xf>
    <xf numFmtId="0" fontId="247" fillId="0" borderId="0" xfId="0" applyFont="1"/>
    <xf numFmtId="0" fontId="6" fillId="0" borderId="0" xfId="0" applyFont="1" applyAlignment="1">
      <alignment vertical="center"/>
    </xf>
    <xf numFmtId="0" fontId="11" fillId="0" borderId="0" xfId="0" applyFont="1" applyAlignment="1">
      <alignment horizontal="center"/>
    </xf>
    <xf numFmtId="0" fontId="39" fillId="7" borderId="114" xfId="0" applyFont="1" applyFill="1" applyBorder="1" applyAlignment="1">
      <alignment horizontal="center" vertical="top"/>
    </xf>
    <xf numFmtId="0" fontId="39" fillId="7" borderId="102" xfId="0" applyFont="1" applyFill="1" applyBorder="1" applyAlignment="1">
      <alignment horizontal="center" vertical="top"/>
    </xf>
    <xf numFmtId="0" fontId="39" fillId="7" borderId="116" xfId="0" applyFont="1" applyFill="1" applyBorder="1" applyAlignment="1">
      <alignment horizontal="center" vertical="top"/>
    </xf>
    <xf numFmtId="0" fontId="251" fillId="0" borderId="0" xfId="0" applyFont="1" applyAlignment="1">
      <alignment horizontal="left" vertical="center"/>
    </xf>
    <xf numFmtId="0" fontId="269" fillId="7" borderId="111" xfId="0" applyFont="1" applyFill="1" applyBorder="1" applyAlignment="1">
      <alignment horizontal="center"/>
    </xf>
    <xf numFmtId="0" fontId="269" fillId="7" borderId="110" xfId="0" applyFont="1" applyFill="1" applyBorder="1" applyAlignment="1">
      <alignment horizontal="center"/>
    </xf>
    <xf numFmtId="0" fontId="269" fillId="7" borderId="115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9" fillId="0" borderId="156" xfId="0" applyFont="1" applyBorder="1" applyAlignment="1">
      <alignment horizontal="left" vertical="top"/>
    </xf>
    <xf numFmtId="0" fontId="9" fillId="0" borderId="157" xfId="0" applyFont="1" applyBorder="1" applyAlignment="1">
      <alignment horizontal="left" vertical="top"/>
    </xf>
    <xf numFmtId="0" fontId="9" fillId="0" borderId="158" xfId="0" applyFont="1" applyBorder="1" applyAlignment="1">
      <alignment horizontal="left" vertical="top"/>
    </xf>
    <xf numFmtId="0" fontId="9" fillId="0" borderId="161" xfId="0" applyFont="1" applyBorder="1" applyAlignment="1">
      <alignment horizontal="left" vertical="top"/>
    </xf>
    <xf numFmtId="0" fontId="9" fillId="0" borderId="162" xfId="0" applyFont="1" applyBorder="1" applyAlignment="1">
      <alignment horizontal="left" vertical="top"/>
    </xf>
    <xf numFmtId="0" fontId="9" fillId="0" borderId="163" xfId="0" applyFont="1" applyBorder="1" applyAlignment="1">
      <alignment horizontal="left" vertical="top"/>
    </xf>
    <xf numFmtId="0" fontId="252" fillId="0" borderId="166" xfId="0" quotePrefix="1" applyFont="1" applyBorder="1" applyAlignment="1">
      <alignment horizontal="left"/>
    </xf>
    <xf numFmtId="0" fontId="252" fillId="0" borderId="167" xfId="0" quotePrefix="1" applyFont="1" applyBorder="1" applyAlignment="1">
      <alignment horizontal="left"/>
    </xf>
    <xf numFmtId="0" fontId="259" fillId="0" borderId="0" xfId="0" applyFont="1" applyAlignment="1">
      <alignment horizontal="right" vertical="top" wrapText="1"/>
    </xf>
    <xf numFmtId="0" fontId="259" fillId="0" borderId="118" xfId="0" applyFont="1" applyBorder="1" applyAlignment="1">
      <alignment horizontal="right" vertical="top" wrapText="1"/>
    </xf>
    <xf numFmtId="0" fontId="49" fillId="0" borderId="0" xfId="0" applyFont="1" applyAlignment="1">
      <alignment horizontal="left" vertical="top" wrapText="1"/>
    </xf>
    <xf numFmtId="0" fontId="259" fillId="0" borderId="0" xfId="0" applyFont="1" applyAlignment="1">
      <alignment horizontal="right"/>
    </xf>
    <xf numFmtId="0" fontId="259" fillId="0" borderId="110" xfId="0" applyFont="1" applyBorder="1" applyAlignment="1">
      <alignment horizontal="right" vertical="top" wrapText="1"/>
    </xf>
    <xf numFmtId="0" fontId="259" fillId="0" borderId="115" xfId="0" applyFont="1" applyBorder="1" applyAlignment="1">
      <alignment horizontal="right" vertical="top" wrapText="1"/>
    </xf>
    <xf numFmtId="0" fontId="290" fillId="0" borderId="0" xfId="0" applyFont="1" applyAlignment="1">
      <alignment horizontal="right" vertical="top" wrapText="1"/>
    </xf>
    <xf numFmtId="0" fontId="290" fillId="0" borderId="118" xfId="0" applyFont="1" applyBorder="1" applyAlignment="1">
      <alignment horizontal="right" vertical="top" wrapText="1"/>
    </xf>
    <xf numFmtId="0" fontId="48" fillId="5" borderId="117" xfId="0" applyFont="1" applyFill="1" applyBorder="1" applyAlignment="1">
      <alignment horizontal="left"/>
    </xf>
    <xf numFmtId="0" fontId="48" fillId="5" borderId="112" xfId="0" applyFont="1" applyFill="1" applyBorder="1" applyAlignment="1">
      <alignment horizontal="left"/>
    </xf>
    <xf numFmtId="0" fontId="48" fillId="5" borderId="117" xfId="0" applyFont="1" applyFill="1" applyBorder="1" applyAlignment="1">
      <alignment horizontal="left" vertical="center"/>
    </xf>
    <xf numFmtId="0" fontId="48" fillId="5" borderId="112" xfId="0" applyFont="1" applyFill="1" applyBorder="1" applyAlignment="1">
      <alignment horizontal="left" vertical="center"/>
    </xf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49" fontId="44" fillId="0" borderId="80" xfId="0" applyNumberFormat="1" applyFont="1" applyBorder="1" applyAlignment="1">
      <alignment horizontal="left" vertical="top"/>
    </xf>
    <xf numFmtId="49" fontId="44" fillId="0" borderId="81" xfId="0" applyNumberFormat="1" applyFont="1" applyBorder="1" applyAlignment="1">
      <alignment horizontal="left" vertical="top"/>
    </xf>
    <xf numFmtId="0" fontId="200" fillId="0" borderId="117" xfId="0" applyFont="1" applyBorder="1" applyAlignment="1">
      <alignment horizontal="left"/>
    </xf>
    <xf numFmtId="0" fontId="200" fillId="0" borderId="103" xfId="0" applyFont="1" applyBorder="1" applyAlignment="1">
      <alignment horizontal="left"/>
    </xf>
    <xf numFmtId="0" fontId="200" fillId="0" borderId="112" xfId="0" applyFont="1" applyBorder="1" applyAlignment="1">
      <alignment horizontal="left"/>
    </xf>
    <xf numFmtId="0" fontId="48" fillId="0" borderId="117" xfId="0" applyFont="1" applyBorder="1" applyAlignment="1">
      <alignment horizontal="left"/>
    </xf>
    <xf numFmtId="0" fontId="48" fillId="0" borderId="112" xfId="0" applyFont="1" applyBorder="1" applyAlignment="1">
      <alignment horizontal="left"/>
    </xf>
    <xf numFmtId="0" fontId="119" fillId="0" borderId="31" xfId="0" applyFont="1" applyBorder="1" applyAlignment="1">
      <alignment horizontal="center" vertical="top"/>
    </xf>
    <xf numFmtId="0" fontId="119" fillId="0" borderId="32" xfId="0" applyFont="1" applyBorder="1" applyAlignment="1">
      <alignment horizontal="center" vertical="top"/>
    </xf>
    <xf numFmtId="0" fontId="199" fillId="0" borderId="93" xfId="0" applyFont="1" applyBorder="1" applyAlignment="1">
      <alignment horizontal="center" vertical="center"/>
    </xf>
    <xf numFmtId="0" fontId="199" fillId="0" borderId="30" xfId="0" applyFont="1" applyBorder="1" applyAlignment="1">
      <alignment horizontal="center" vertical="center"/>
    </xf>
    <xf numFmtId="0" fontId="48" fillId="5" borderId="83" xfId="0" applyFont="1" applyFill="1" applyBorder="1" applyAlignment="1">
      <alignment horizontal="left" vertical="top"/>
    </xf>
    <xf numFmtId="0" fontId="48" fillId="5" borderId="84" xfId="0" applyFont="1" applyFill="1" applyBorder="1" applyAlignment="1">
      <alignment horizontal="left" vertical="top"/>
    </xf>
    <xf numFmtId="0" fontId="48" fillId="0" borderId="85" xfId="0" applyFont="1" applyBorder="1" applyAlignment="1">
      <alignment horizontal="left" vertical="top" wrapText="1"/>
    </xf>
    <xf numFmtId="0" fontId="48" fillId="0" borderId="86" xfId="0" applyFont="1" applyBorder="1" applyAlignment="1">
      <alignment horizontal="left" vertical="top" wrapText="1"/>
    </xf>
    <xf numFmtId="0" fontId="48" fillId="0" borderId="87" xfId="0" applyFont="1" applyBorder="1" applyAlignment="1">
      <alignment horizontal="left" vertical="top" wrapText="1"/>
    </xf>
    <xf numFmtId="0" fontId="48" fillId="0" borderId="88" xfId="0" applyFont="1" applyBorder="1" applyAlignment="1">
      <alignment horizontal="left" vertical="top" wrapText="1"/>
    </xf>
    <xf numFmtId="0" fontId="48" fillId="0" borderId="89" xfId="0" applyFont="1" applyBorder="1" applyAlignment="1">
      <alignment horizontal="left" vertical="top" wrapText="1"/>
    </xf>
    <xf numFmtId="0" fontId="48" fillId="0" borderId="90" xfId="0" applyFont="1" applyBorder="1" applyAlignment="1">
      <alignment horizontal="left" vertical="top" wrapText="1"/>
    </xf>
    <xf numFmtId="49" fontId="48" fillId="0" borderId="104" xfId="0" applyNumberFormat="1" applyFont="1" applyBorder="1" applyAlignment="1">
      <alignment horizontal="left" vertical="top" wrapText="1"/>
    </xf>
    <xf numFmtId="49" fontId="48" fillId="0" borderId="105" xfId="0" applyNumberFormat="1" applyFont="1" applyBorder="1" applyAlignment="1">
      <alignment horizontal="left" vertical="top" wrapText="1"/>
    </xf>
    <xf numFmtId="49" fontId="48" fillId="0" borderId="106" xfId="0" applyNumberFormat="1" applyFont="1" applyBorder="1" applyAlignment="1">
      <alignment horizontal="left" vertical="top" wrapText="1"/>
    </xf>
    <xf numFmtId="49" fontId="48" fillId="0" borderId="107" xfId="0" applyNumberFormat="1" applyFont="1" applyBorder="1" applyAlignment="1">
      <alignment horizontal="left" vertical="top" wrapText="1"/>
    </xf>
    <xf numFmtId="49" fontId="48" fillId="0" borderId="108" xfId="0" applyNumberFormat="1" applyFont="1" applyBorder="1" applyAlignment="1">
      <alignment horizontal="left" vertical="top" wrapText="1"/>
    </xf>
    <xf numFmtId="49" fontId="48" fillId="0" borderId="109" xfId="0" applyNumberFormat="1" applyFont="1" applyBorder="1" applyAlignment="1">
      <alignment horizontal="left" vertical="top" wrapText="1"/>
    </xf>
    <xf numFmtId="0" fontId="136" fillId="6" borderId="41" xfId="0" applyFont="1" applyFill="1" applyBorder="1" applyAlignment="1">
      <alignment horizontal="center"/>
    </xf>
    <xf numFmtId="0" fontId="136" fillId="6" borderId="46" xfId="0" applyFont="1" applyFill="1" applyBorder="1" applyAlignment="1">
      <alignment horizontal="center"/>
    </xf>
    <xf numFmtId="0" fontId="148" fillId="7" borderId="61" xfId="0" applyFont="1" applyFill="1" applyBorder="1" applyAlignment="1">
      <alignment horizontal="center" vertical="center"/>
    </xf>
    <xf numFmtId="0" fontId="149" fillId="7" borderId="63" xfId="0" applyFont="1" applyFill="1" applyBorder="1" applyAlignment="1">
      <alignment horizontal="center" vertical="top"/>
    </xf>
    <xf numFmtId="0" fontId="42" fillId="0" borderId="0" xfId="0" applyFont="1" applyAlignment="1">
      <alignment horizontal="left"/>
    </xf>
    <xf numFmtId="0" fontId="101" fillId="0" borderId="0" xfId="0" applyFont="1" applyAlignment="1">
      <alignment horizontal="left" vertical="center"/>
    </xf>
    <xf numFmtId="0" fontId="150" fillId="7" borderId="40" xfId="0" applyFont="1" applyFill="1" applyBorder="1" applyAlignment="1">
      <alignment horizontal="center" vertical="center"/>
    </xf>
    <xf numFmtId="0" fontId="73" fillId="0" borderId="35" xfId="0" applyFont="1" applyBorder="1" applyAlignment="1">
      <alignment horizontal="left" vertical="top"/>
    </xf>
    <xf numFmtId="0" fontId="73" fillId="0" borderId="36" xfId="0" applyFont="1" applyBorder="1" applyAlignment="1">
      <alignment horizontal="left" vertical="top"/>
    </xf>
    <xf numFmtId="0" fontId="73" fillId="0" borderId="0" xfId="0" applyFont="1" applyAlignment="1">
      <alignment horizontal="left" vertical="top"/>
    </xf>
    <xf numFmtId="0" fontId="73" fillId="0" borderId="56" xfId="0" applyFont="1" applyBorder="1" applyAlignment="1">
      <alignment horizontal="left" vertical="top"/>
    </xf>
    <xf numFmtId="0" fontId="73" fillId="0" borderId="38" xfId="0" applyFont="1" applyBorder="1" applyAlignment="1">
      <alignment horizontal="left" vertical="top"/>
    </xf>
    <xf numFmtId="0" fontId="73" fillId="0" borderId="39" xfId="0" applyFont="1" applyBorder="1" applyAlignment="1">
      <alignment horizontal="left" vertical="top"/>
    </xf>
    <xf numFmtId="0" fontId="39" fillId="0" borderId="66" xfId="0" applyFont="1" applyBorder="1" applyAlignment="1">
      <alignment horizontal="center" vertical="center" wrapText="1"/>
    </xf>
    <xf numFmtId="0" fontId="39" fillId="0" borderId="67" xfId="0" applyFont="1" applyBorder="1" applyAlignment="1">
      <alignment horizontal="center" vertical="center" wrapText="1"/>
    </xf>
    <xf numFmtId="0" fontId="39" fillId="0" borderId="62" xfId="0" applyFont="1" applyBorder="1" applyAlignment="1">
      <alignment horizontal="center" vertical="center" wrapText="1"/>
    </xf>
    <xf numFmtId="0" fontId="39" fillId="0" borderId="6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top"/>
    </xf>
    <xf numFmtId="0" fontId="9" fillId="0" borderId="45" xfId="0" applyFont="1" applyBorder="1" applyAlignment="1">
      <alignment horizontal="left" vertical="top"/>
    </xf>
    <xf numFmtId="0" fontId="9" fillId="0" borderId="46" xfId="0" applyFont="1" applyBorder="1" applyAlignment="1">
      <alignment horizontal="left" vertical="top"/>
    </xf>
    <xf numFmtId="0" fontId="9" fillId="0" borderId="4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48" xfId="0" applyFont="1" applyBorder="1" applyAlignment="1">
      <alignment horizontal="left" vertical="top"/>
    </xf>
    <xf numFmtId="0" fontId="9" fillId="0" borderId="42" xfId="0" applyFont="1" applyBorder="1" applyAlignment="1">
      <alignment horizontal="left" vertical="top"/>
    </xf>
    <xf numFmtId="0" fontId="9" fillId="0" borderId="49" xfId="0" applyFont="1" applyBorder="1" applyAlignment="1">
      <alignment horizontal="left" vertical="top"/>
    </xf>
    <xf numFmtId="0" fontId="9" fillId="0" borderId="50" xfId="0" applyFont="1" applyBorder="1" applyAlignment="1">
      <alignment horizontal="left" vertical="top"/>
    </xf>
    <xf numFmtId="171" fontId="0" fillId="0" borderId="66" xfId="0" applyNumberFormat="1" applyBorder="1" applyAlignment="1">
      <alignment horizontal="center" vertical="center" wrapText="1"/>
    </xf>
    <xf numFmtId="171" fontId="0" fillId="0" borderId="67" xfId="0" applyNumberForma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99" fillId="0" borderId="45" xfId="0" applyFont="1" applyBorder="1" applyAlignment="1">
      <alignment horizontal="center" vertical="center"/>
    </xf>
    <xf numFmtId="0" fontId="99" fillId="0" borderId="46" xfId="0" applyFont="1" applyBorder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99" fillId="0" borderId="48" xfId="0" applyFont="1" applyBorder="1" applyAlignment="1">
      <alignment horizontal="center" vertical="center"/>
    </xf>
    <xf numFmtId="0" fontId="148" fillId="7" borderId="60" xfId="0" applyFont="1" applyFill="1" applyBorder="1" applyAlignment="1">
      <alignment horizontal="center" vertical="center"/>
    </xf>
    <xf numFmtId="0" fontId="148" fillId="7" borderId="64" xfId="0" applyFont="1" applyFill="1" applyBorder="1" applyAlignment="1">
      <alignment horizontal="center" vertical="center"/>
    </xf>
    <xf numFmtId="0" fontId="149" fillId="7" borderId="62" xfId="0" applyFont="1" applyFill="1" applyBorder="1" applyAlignment="1">
      <alignment horizontal="center" vertical="top"/>
    </xf>
    <xf numFmtId="0" fontId="149" fillId="7" borderId="65" xfId="0" applyFont="1" applyFill="1" applyBorder="1" applyAlignment="1">
      <alignment horizontal="center" vertical="top"/>
    </xf>
    <xf numFmtId="14" fontId="49" fillId="0" borderId="55" xfId="0" applyNumberFormat="1" applyFont="1" applyBorder="1" applyAlignment="1">
      <alignment horizontal="left" vertical="center" wrapText="1"/>
    </xf>
    <xf numFmtId="14" fontId="49" fillId="0" borderId="52" xfId="0" applyNumberFormat="1" applyFont="1" applyBorder="1" applyAlignment="1">
      <alignment horizontal="left" vertical="center" wrapText="1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70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168" fontId="133" fillId="0" borderId="41" xfId="0" applyNumberFormat="1" applyFont="1" applyBorder="1" applyAlignment="1">
      <alignment horizontal="center" vertical="center" wrapText="1"/>
    </xf>
    <xf numFmtId="168" fontId="133" fillId="0" borderId="46" xfId="0" applyNumberFormat="1" applyFont="1" applyBorder="1" applyAlignment="1">
      <alignment horizontal="center" vertical="center" wrapText="1"/>
    </xf>
    <xf numFmtId="168" fontId="133" fillId="0" borderId="47" xfId="0" applyNumberFormat="1" applyFont="1" applyBorder="1" applyAlignment="1">
      <alignment horizontal="center" vertical="center" wrapText="1"/>
    </xf>
    <xf numFmtId="168" fontId="133" fillId="0" borderId="48" xfId="0" applyNumberFormat="1" applyFont="1" applyBorder="1" applyAlignment="1">
      <alignment horizontal="center" vertical="center" wrapText="1"/>
    </xf>
    <xf numFmtId="169" fontId="133" fillId="0" borderId="41" xfId="0" applyNumberFormat="1" applyFont="1" applyBorder="1" applyAlignment="1">
      <alignment horizontal="center" vertical="center" wrapText="1"/>
    </xf>
    <xf numFmtId="169" fontId="133" fillId="0" borderId="46" xfId="0" applyNumberFormat="1" applyFont="1" applyBorder="1" applyAlignment="1">
      <alignment horizontal="center" vertical="center" wrapText="1"/>
    </xf>
    <xf numFmtId="169" fontId="133" fillId="0" borderId="42" xfId="0" applyNumberFormat="1" applyFont="1" applyBorder="1" applyAlignment="1">
      <alignment horizontal="center" vertical="center" wrapText="1"/>
    </xf>
    <xf numFmtId="169" fontId="133" fillId="0" borderId="50" xfId="0" applyNumberFormat="1" applyFont="1" applyBorder="1" applyAlignment="1">
      <alignment horizontal="center" vertical="center" wrapText="1"/>
    </xf>
    <xf numFmtId="168" fontId="219" fillId="0" borderId="0" xfId="0" applyNumberFormat="1" applyFont="1" applyAlignment="1">
      <alignment horizontal="center" vertical="center"/>
    </xf>
    <xf numFmtId="0" fontId="218" fillId="4" borderId="0" xfId="0" applyFont="1" applyFill="1" applyAlignment="1">
      <alignment horizontal="left" vertical="center"/>
    </xf>
    <xf numFmtId="0" fontId="48" fillId="0" borderId="26" xfId="0" applyFont="1" applyBorder="1" applyAlignment="1">
      <alignment horizontal="left"/>
    </xf>
    <xf numFmtId="14" fontId="49" fillId="0" borderId="25" xfId="0" applyNumberFormat="1" applyFont="1" applyBorder="1" applyAlignment="1">
      <alignment horizontal="left" vertical="center" wrapText="1"/>
    </xf>
    <xf numFmtId="172" fontId="143" fillId="0" borderId="94" xfId="0" applyNumberFormat="1" applyFont="1" applyBorder="1" applyAlignment="1">
      <alignment horizontal="center" vertical="center"/>
    </xf>
    <xf numFmtId="172" fontId="143" fillId="0" borderId="95" xfId="0" applyNumberFormat="1" applyFont="1" applyBorder="1" applyAlignment="1">
      <alignment horizontal="center" vertical="center"/>
    </xf>
    <xf numFmtId="169" fontId="143" fillId="0" borderId="93" xfId="0" applyNumberFormat="1" applyFont="1" applyBorder="1" applyAlignment="1">
      <alignment horizontal="center" vertical="center" wrapText="1"/>
    </xf>
    <xf numFmtId="169" fontId="143" fillId="0" borderId="30" xfId="0" applyNumberFormat="1" applyFont="1" applyBorder="1" applyAlignment="1">
      <alignment horizontal="center" vertical="center" wrapText="1"/>
    </xf>
    <xf numFmtId="169" fontId="143" fillId="0" borderId="31" xfId="0" applyNumberFormat="1" applyFont="1" applyBorder="1" applyAlignment="1">
      <alignment horizontal="center" vertical="center" wrapText="1"/>
    </xf>
    <xf numFmtId="169" fontId="143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02" fillId="0" borderId="0" xfId="0" applyFont="1" applyAlignment="1">
      <alignment horizontal="left" vertical="center" wrapText="1"/>
    </xf>
    <xf numFmtId="0" fontId="48" fillId="0" borderId="25" xfId="0" applyFont="1" applyBorder="1" applyAlignment="1">
      <alignment horizontal="left" vertical="center"/>
    </xf>
    <xf numFmtId="0" fontId="102" fillId="0" borderId="93" xfId="0" applyFont="1" applyBorder="1" applyAlignment="1">
      <alignment horizontal="left" vertical="top" wrapText="1"/>
    </xf>
    <xf numFmtId="0" fontId="102" fillId="0" borderId="29" xfId="0" applyFont="1" applyBorder="1" applyAlignment="1">
      <alignment horizontal="left" vertical="top" wrapText="1"/>
    </xf>
    <xf numFmtId="0" fontId="102" fillId="0" borderId="30" xfId="0" applyFont="1" applyBorder="1" applyAlignment="1">
      <alignment horizontal="left" vertical="top" wrapText="1"/>
    </xf>
    <xf numFmtId="0" fontId="102" fillId="0" borderId="31" xfId="0" applyFont="1" applyBorder="1" applyAlignment="1">
      <alignment horizontal="left" vertical="top" wrapText="1"/>
    </xf>
    <xf numFmtId="0" fontId="102" fillId="0" borderId="25" xfId="0" applyFont="1" applyBorder="1" applyAlignment="1">
      <alignment horizontal="left" vertical="top" wrapText="1"/>
    </xf>
    <xf numFmtId="0" fontId="102" fillId="0" borderId="32" xfId="0" applyFont="1" applyBorder="1" applyAlignment="1">
      <alignment horizontal="left" vertical="top" wrapText="1"/>
    </xf>
    <xf numFmtId="168" fontId="143" fillId="0" borderId="93" xfId="0" applyNumberFormat="1" applyFont="1" applyBorder="1" applyAlignment="1">
      <alignment horizontal="center" vertical="center" wrapText="1"/>
    </xf>
    <xf numFmtId="168" fontId="143" fillId="0" borderId="30" xfId="0" applyNumberFormat="1" applyFont="1" applyBorder="1" applyAlignment="1">
      <alignment horizontal="center" vertical="center" wrapText="1"/>
    </xf>
    <xf numFmtId="168" fontId="143" fillId="0" borderId="31" xfId="0" applyNumberFormat="1" applyFont="1" applyBorder="1" applyAlignment="1">
      <alignment horizontal="center" vertical="center" wrapText="1"/>
    </xf>
    <xf numFmtId="168" fontId="143" fillId="0" borderId="32" xfId="0" applyNumberFormat="1" applyFont="1" applyBorder="1" applyAlignment="1">
      <alignment horizontal="center" vertical="center" wrapText="1"/>
    </xf>
    <xf numFmtId="0" fontId="146" fillId="0" borderId="93" xfId="0" applyFont="1" applyBorder="1" applyAlignment="1">
      <alignment horizontal="center"/>
    </xf>
    <xf numFmtId="0" fontId="146" fillId="0" borderId="30" xfId="0" applyFont="1" applyBorder="1" applyAlignment="1">
      <alignment horizontal="center"/>
    </xf>
    <xf numFmtId="0" fontId="151" fillId="0" borderId="0" xfId="0" applyFont="1" applyAlignment="1">
      <alignment horizontal="center" vertical="center"/>
    </xf>
    <xf numFmtId="0" fontId="137" fillId="0" borderId="29" xfId="0" applyFont="1" applyBorder="1" applyAlignment="1">
      <alignment horizontal="center" vertical="center"/>
    </xf>
    <xf numFmtId="0" fontId="137" fillId="0" borderId="30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4" fontId="97" fillId="0" borderId="27" xfId="0" applyNumberFormat="1" applyFont="1" applyBorder="1" applyAlignment="1" applyProtection="1">
      <alignment horizontal="center" vertical="center"/>
      <protection locked="0"/>
    </xf>
    <xf numFmtId="14" fontId="97" fillId="0" borderId="28" xfId="0" applyNumberFormat="1" applyFont="1" applyBorder="1" applyAlignment="1" applyProtection="1">
      <alignment horizontal="center" vertical="center"/>
      <protection locked="0"/>
    </xf>
    <xf numFmtId="168" fontId="144" fillId="7" borderId="59" xfId="0" applyNumberFormat="1" applyFont="1" applyFill="1" applyBorder="1" applyAlignment="1">
      <alignment horizontal="center" vertical="center"/>
    </xf>
    <xf numFmtId="168" fontId="144" fillId="7" borderId="0" xfId="0" applyNumberFormat="1" applyFont="1" applyFill="1" applyAlignment="1">
      <alignment horizontal="center" vertical="center"/>
    </xf>
    <xf numFmtId="0" fontId="133" fillId="0" borderId="27" xfId="0" applyFont="1" applyBorder="1" applyAlignment="1">
      <alignment horizontal="center" vertical="center"/>
    </xf>
    <xf numFmtId="0" fontId="133" fillId="0" borderId="28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171" fontId="98" fillId="0" borderId="94" xfId="0" applyNumberFormat="1" applyFont="1" applyBorder="1" applyAlignment="1">
      <alignment horizontal="center" vertical="center"/>
    </xf>
    <xf numFmtId="171" fontId="98" fillId="0" borderId="95" xfId="0" applyNumberFormat="1" applyFont="1" applyBorder="1" applyAlignment="1">
      <alignment horizontal="center" vertical="center"/>
    </xf>
    <xf numFmtId="49" fontId="126" fillId="0" borderId="0" xfId="0" applyNumberFormat="1" applyFont="1" applyAlignment="1">
      <alignment horizontal="center" vertical="center"/>
    </xf>
    <xf numFmtId="49" fontId="190" fillId="0" borderId="0" xfId="0" applyNumberFormat="1" applyFont="1" applyAlignment="1">
      <alignment horizontal="center" vertical="center"/>
    </xf>
    <xf numFmtId="0" fontId="42" fillId="0" borderId="94" xfId="0" applyFont="1" applyBorder="1" applyAlignment="1">
      <alignment horizontal="left"/>
    </xf>
    <xf numFmtId="0" fontId="42" fillId="0" borderId="95" xfId="0" applyFont="1" applyBorder="1" applyAlignment="1">
      <alignment horizontal="left"/>
    </xf>
    <xf numFmtId="168" fontId="42" fillId="0" borderId="0" xfId="0" applyNumberFormat="1" applyFont="1" applyAlignment="1">
      <alignment horizontal="right" vertical="center" wrapText="1"/>
    </xf>
    <xf numFmtId="0" fontId="128" fillId="7" borderId="96" xfId="0" applyFont="1" applyFill="1" applyBorder="1" applyAlignment="1">
      <alignment horizontal="center" vertical="center"/>
    </xf>
    <xf numFmtId="0" fontId="170" fillId="7" borderId="93" xfId="0" applyFont="1" applyFill="1" applyBorder="1" applyAlignment="1">
      <alignment horizontal="center" vertical="center"/>
    </xf>
    <xf numFmtId="0" fontId="170" fillId="7" borderId="29" xfId="0" applyFont="1" applyFill="1" applyBorder="1" applyAlignment="1">
      <alignment horizontal="center" vertical="center"/>
    </xf>
    <xf numFmtId="0" fontId="170" fillId="7" borderId="30" xfId="0" applyFont="1" applyFill="1" applyBorder="1" applyAlignment="1">
      <alignment horizontal="center" vertical="center"/>
    </xf>
    <xf numFmtId="0" fontId="170" fillId="7" borderId="91" xfId="0" applyFont="1" applyFill="1" applyBorder="1" applyAlignment="1">
      <alignment horizontal="center" vertical="center"/>
    </xf>
    <xf numFmtId="0" fontId="170" fillId="7" borderId="0" xfId="0" applyFont="1" applyFill="1" applyAlignment="1">
      <alignment horizontal="center" vertical="center"/>
    </xf>
    <xf numFmtId="0" fontId="170" fillId="7" borderId="92" xfId="0" applyFont="1" applyFill="1" applyBorder="1" applyAlignment="1">
      <alignment horizontal="center" vertical="center"/>
    </xf>
    <xf numFmtId="0" fontId="42" fillId="7" borderId="91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92" xfId="0" applyFont="1" applyFill="1" applyBorder="1" applyAlignment="1">
      <alignment vertical="center"/>
    </xf>
    <xf numFmtId="0" fontId="74" fillId="0" borderId="0" xfId="0" applyFont="1" applyAlignment="1">
      <alignment horizontal="center" vertical="center"/>
    </xf>
    <xf numFmtId="0" fontId="124" fillId="7" borderId="31" xfId="0" applyFont="1" applyFill="1" applyBorder="1" applyAlignment="1">
      <alignment horizontal="center" vertical="top"/>
    </xf>
    <xf numFmtId="0" fontId="124" fillId="7" borderId="32" xfId="0" applyFont="1" applyFill="1" applyBorder="1" applyAlignment="1">
      <alignment horizontal="center" vertical="top"/>
    </xf>
    <xf numFmtId="0" fontId="128" fillId="7" borderId="93" xfId="0" applyFont="1" applyFill="1" applyBorder="1" applyAlignment="1">
      <alignment horizontal="center"/>
    </xf>
    <xf numFmtId="0" fontId="128" fillId="7" borderId="30" xfId="0" applyFont="1" applyFill="1" applyBorder="1" applyAlignment="1">
      <alignment horizontal="center"/>
    </xf>
    <xf numFmtId="0" fontId="166" fillId="0" borderId="0" xfId="0" applyFont="1" applyAlignment="1">
      <alignment horizontal="center"/>
    </xf>
    <xf numFmtId="0" fontId="9" fillId="0" borderId="0" xfId="0" applyFont="1" applyAlignment="1">
      <alignment horizontal="left" vertical="center"/>
    </xf>
    <xf numFmtId="0" fontId="228" fillId="0" borderId="0" xfId="0" applyFont="1" applyAlignment="1">
      <alignment horizontal="center"/>
    </xf>
    <xf numFmtId="0" fontId="80" fillId="0" borderId="0" xfId="0" applyFont="1" applyAlignment="1">
      <alignment horizontal="center" vertical="center"/>
    </xf>
    <xf numFmtId="0" fontId="184" fillId="7" borderId="0" xfId="0" applyFont="1" applyFill="1" applyAlignment="1">
      <alignment horizontal="center" vertical="center"/>
    </xf>
    <xf numFmtId="0" fontId="233" fillId="0" borderId="0" xfId="0" applyFont="1" applyAlignment="1">
      <alignment horizontal="center" vertical="center"/>
    </xf>
    <xf numFmtId="0" fontId="233" fillId="0" borderId="55" xfId="0" applyFont="1" applyBorder="1" applyAlignment="1">
      <alignment horizontal="center" vertical="center"/>
    </xf>
    <xf numFmtId="0" fontId="233" fillId="0" borderId="51" xfId="0" applyFont="1" applyBorder="1" applyAlignment="1">
      <alignment horizontal="center" vertical="center"/>
    </xf>
    <xf numFmtId="0" fontId="233" fillId="0" borderId="52" xfId="0" applyFont="1" applyBorder="1" applyAlignment="1">
      <alignment horizontal="center" vertical="center"/>
    </xf>
    <xf numFmtId="0" fontId="233" fillId="0" borderId="49" xfId="0" applyFont="1" applyBorder="1" applyAlignment="1">
      <alignment horizontal="center" vertical="center"/>
    </xf>
    <xf numFmtId="0" fontId="228" fillId="0" borderId="0" xfId="0" applyFont="1" applyAlignment="1">
      <alignment horizontal="center" vertical="center"/>
    </xf>
    <xf numFmtId="49" fontId="80" fillId="0" borderId="0" xfId="0" applyNumberFormat="1" applyFont="1" applyAlignment="1">
      <alignment horizontal="center" vertical="center"/>
    </xf>
    <xf numFmtId="0" fontId="134" fillId="0" borderId="55" xfId="0" applyFont="1" applyBorder="1" applyAlignment="1">
      <alignment horizontal="center" vertical="center"/>
    </xf>
    <xf numFmtId="0" fontId="134" fillId="0" borderId="51" xfId="0" applyFont="1" applyBorder="1" applyAlignment="1">
      <alignment horizontal="center" vertical="center"/>
    </xf>
    <xf numFmtId="0" fontId="134" fillId="0" borderId="52" xfId="0" applyFont="1" applyBorder="1" applyAlignment="1">
      <alignment horizontal="center" vertical="center"/>
    </xf>
    <xf numFmtId="0" fontId="9" fillId="0" borderId="102" xfId="0" applyFont="1" applyBorder="1" applyAlignment="1">
      <alignment horizontal="left"/>
    </xf>
    <xf numFmtId="0" fontId="9" fillId="0" borderId="103" xfId="0" applyFont="1" applyBorder="1" applyAlignment="1">
      <alignment horizontal="left" vertical="center"/>
    </xf>
    <xf numFmtId="0" fontId="309" fillId="0" borderId="0" xfId="0" applyFont="1" applyAlignment="1">
      <alignment horizontal="right"/>
    </xf>
    <xf numFmtId="0" fontId="186" fillId="0" borderId="0" xfId="0" applyFont="1" applyAlignment="1">
      <alignment horizontal="center"/>
    </xf>
    <xf numFmtId="0" fontId="134" fillId="0" borderId="0" xfId="0" applyFont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4" fillId="0" borderId="0" xfId="0" applyFont="1" applyAlignment="1">
      <alignment horizontal="center" vertical="top"/>
    </xf>
    <xf numFmtId="14" fontId="13" fillId="2" borderId="0" xfId="0" applyNumberFormat="1" applyFont="1" applyFill="1" applyAlignment="1">
      <alignment horizontal="right" vertical="center"/>
    </xf>
    <xf numFmtId="165" fontId="13" fillId="2" borderId="0" xfId="3" applyNumberFormat="1" applyFont="1" applyFill="1" applyAlignment="1">
      <alignment horizontal="right"/>
    </xf>
    <xf numFmtId="0" fontId="12" fillId="0" borderId="17" xfId="0" applyFont="1" applyBorder="1" applyAlignment="1" applyProtection="1">
      <alignment horizontal="left" vertical="center" wrapText="1"/>
      <protection locked="0"/>
    </xf>
    <xf numFmtId="0" fontId="25" fillId="0" borderId="1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3" fillId="0" borderId="1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 wrapText="1"/>
    </xf>
    <xf numFmtId="0" fontId="10" fillId="0" borderId="15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4" fillId="0" borderId="15" xfId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7" fillId="0" borderId="7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6" fillId="2" borderId="0" xfId="0" applyFont="1" applyFill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1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horizontal="center" wrapText="1"/>
      <protection locked="0"/>
    </xf>
    <xf numFmtId="43" fontId="27" fillId="0" borderId="14" xfId="3" applyFont="1" applyBorder="1" applyAlignment="1">
      <alignment horizontal="center" vertical="center"/>
    </xf>
    <xf numFmtId="43" fontId="27" fillId="0" borderId="23" xfId="3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10" fillId="0" borderId="2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8" fillId="0" borderId="4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 indent="1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right" vertic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17" xfId="0" applyFont="1" applyBorder="1" applyAlignment="1" applyProtection="1">
      <alignment vertical="center" wrapText="1"/>
      <protection locked="0"/>
    </xf>
    <xf numFmtId="169" fontId="49" fillId="0" borderId="117" xfId="0" applyNumberFormat="1" applyFont="1" applyBorder="1" applyAlignment="1">
      <alignment horizontal="center" vertical="center"/>
    </xf>
    <xf numFmtId="169" fontId="49" fillId="0" borderId="103" xfId="0" applyNumberFormat="1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02" fillId="4" borderId="175" xfId="0" applyFont="1" applyFill="1" applyBorder="1" applyAlignment="1">
      <alignment horizontal="left" vertical="center"/>
    </xf>
    <xf numFmtId="0" fontId="102" fillId="4" borderId="176" xfId="0" applyFont="1" applyFill="1" applyBorder="1" applyAlignment="1">
      <alignment horizontal="left" vertical="center"/>
    </xf>
    <xf numFmtId="0" fontId="102" fillId="4" borderId="177" xfId="0" applyFont="1" applyFill="1" applyBorder="1" applyAlignment="1">
      <alignment horizontal="left" vertical="center"/>
    </xf>
    <xf numFmtId="0" fontId="102" fillId="0" borderId="0" xfId="0" applyFont="1" applyAlignment="1">
      <alignment horizontal="left" vertical="center"/>
    </xf>
    <xf numFmtId="4" fontId="102" fillId="4" borderId="175" xfId="0" applyNumberFormat="1" applyFont="1" applyFill="1" applyBorder="1" applyAlignment="1">
      <alignment horizontal="left" vertical="center"/>
    </xf>
    <xf numFmtId="4" fontId="102" fillId="4" borderId="176" xfId="0" applyNumberFormat="1" applyFont="1" applyFill="1" applyBorder="1" applyAlignment="1">
      <alignment horizontal="left" vertical="center"/>
    </xf>
    <xf numFmtId="4" fontId="102" fillId="4" borderId="177" xfId="0" applyNumberFormat="1" applyFont="1" applyFill="1" applyBorder="1" applyAlignment="1">
      <alignment horizontal="left" vertical="center"/>
    </xf>
  </cellXfs>
  <cellStyles count="7">
    <cellStyle name="20% - Accent5" xfId="6" builtinId="46"/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Conten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nten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nten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nten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0099"/>
      <color rgb="FF0066CC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7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openxmlformats.org/officeDocument/2006/relationships/sheetMetadata" Target="metadata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75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73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23/09/relationships/Python" Target="pytho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noThreeD="1"/>
</file>

<file path=xl/ctrlProps/ctrlProp165.xml><?xml version="1.0" encoding="utf-8"?>
<formControlPr xmlns="http://schemas.microsoft.com/office/spreadsheetml/2009/9/main" objectType="CheckBox" noThreeD="1"/>
</file>

<file path=xl/ctrlProps/ctrlProp166.xml><?xml version="1.0" encoding="utf-8"?>
<formControlPr xmlns="http://schemas.microsoft.com/office/spreadsheetml/2009/9/main" objectType="CheckBox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noThreeD="1"/>
</file>

<file path=xl/ctrlProps/ctrlProp175.xml><?xml version="1.0" encoding="utf-8"?>
<formControlPr xmlns="http://schemas.microsoft.com/office/spreadsheetml/2009/9/main" objectType="CheckBox" noThreeD="1"/>
</file>

<file path=xl/ctrlProps/ctrlProp176.xml><?xml version="1.0" encoding="utf-8"?>
<formControlPr xmlns="http://schemas.microsoft.com/office/spreadsheetml/2009/9/main" objectType="CheckBox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2.emf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eg"/><Relationship Id="rId1" Type="http://schemas.openxmlformats.org/officeDocument/2006/relationships/image" Target="../media/image15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104775</xdr:rowOff>
        </xdr:from>
        <xdr:to>
          <xdr:col>6</xdr:col>
          <xdr:colOff>2047875</xdr:colOff>
          <xdr:row>6</xdr:row>
          <xdr:rowOff>57150</xdr:rowOff>
        </xdr:to>
        <xdr:sp macro="" textlink="">
          <xdr:nvSpPr>
            <xdr:cNvPr id="2084866" name="Button 2" hidden="1">
              <a:extLst>
                <a:ext uri="{63B3BB69-23CF-44E3-9099-C40C66FF867C}">
                  <a14:compatExt spid="_x0000_s2084866"/>
                </a:ext>
                <a:ext uri="{FF2B5EF4-FFF2-40B4-BE49-F238E27FC236}">
                  <a16:creationId xmlns:a16="http://schemas.microsoft.com/office/drawing/2014/main" id="{00000000-0008-0000-0100-00000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Activity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15</xdr:row>
          <xdr:rowOff>133350</xdr:rowOff>
        </xdr:from>
        <xdr:to>
          <xdr:col>7</xdr:col>
          <xdr:colOff>2038350</xdr:colOff>
          <xdr:row>16</xdr:row>
          <xdr:rowOff>38100</xdr:rowOff>
        </xdr:to>
        <xdr:sp macro="" textlink="">
          <xdr:nvSpPr>
            <xdr:cNvPr id="2084874" name="Button 10" hidden="1">
              <a:extLst>
                <a:ext uri="{63B3BB69-23CF-44E3-9099-C40C66FF867C}">
                  <a14:compatExt spid="_x0000_s2084874"/>
                </a:ext>
                <a:ext uri="{FF2B5EF4-FFF2-40B4-BE49-F238E27FC236}">
                  <a16:creationId xmlns:a16="http://schemas.microsoft.com/office/drawing/2014/main" id="{00000000-0008-0000-0100-00000A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9</xdr:row>
          <xdr:rowOff>209550</xdr:rowOff>
        </xdr:from>
        <xdr:to>
          <xdr:col>2</xdr:col>
          <xdr:colOff>1800225</xdr:colOff>
          <xdr:row>10</xdr:row>
          <xdr:rowOff>152400</xdr:rowOff>
        </xdr:to>
        <xdr:sp macro="" textlink="">
          <xdr:nvSpPr>
            <xdr:cNvPr id="2084873" name="Button 9" hidden="1">
              <a:extLst>
                <a:ext uri="{63B3BB69-23CF-44E3-9099-C40C66FF867C}">
                  <a14:compatExt spid="_x0000_s2084873"/>
                </a:ext>
                <a:ext uri="{FF2B5EF4-FFF2-40B4-BE49-F238E27FC236}">
                  <a16:creationId xmlns:a16="http://schemas.microsoft.com/office/drawing/2014/main" id="{00000000-0008-0000-0100-000009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5</xdr:row>
          <xdr:rowOff>104775</xdr:rowOff>
        </xdr:from>
        <xdr:to>
          <xdr:col>2</xdr:col>
          <xdr:colOff>1800225</xdr:colOff>
          <xdr:row>6</xdr:row>
          <xdr:rowOff>57150</xdr:rowOff>
        </xdr:to>
        <xdr:sp macro="" textlink="">
          <xdr:nvSpPr>
            <xdr:cNvPr id="2084875" name="Button 11" hidden="1">
              <a:extLst>
                <a:ext uri="{63B3BB69-23CF-44E3-9099-C40C66FF867C}">
                  <a14:compatExt spid="_x0000_s2084875"/>
                </a:ext>
                <a:ext uri="{FF2B5EF4-FFF2-40B4-BE49-F238E27FC236}">
                  <a16:creationId xmlns:a16="http://schemas.microsoft.com/office/drawing/2014/main" id="{00000000-0008-0000-0100-00000B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Product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</xdr:row>
          <xdr:rowOff>247650</xdr:rowOff>
        </xdr:from>
        <xdr:to>
          <xdr:col>2</xdr:col>
          <xdr:colOff>1800225</xdr:colOff>
          <xdr:row>11</xdr:row>
          <xdr:rowOff>200025</xdr:rowOff>
        </xdr:to>
        <xdr:sp macro="" textlink="">
          <xdr:nvSpPr>
            <xdr:cNvPr id="2084882" name="Button 18" hidden="1">
              <a:extLst>
                <a:ext uri="{63B3BB69-23CF-44E3-9099-C40C66FF867C}">
                  <a14:compatExt spid="_x0000_s2084882"/>
                </a:ext>
                <a:ext uri="{FF2B5EF4-FFF2-40B4-BE49-F238E27FC236}">
                  <a16:creationId xmlns:a16="http://schemas.microsoft.com/office/drawing/2014/main" id="{00000000-0008-0000-0100-00001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Count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133350</xdr:rowOff>
        </xdr:from>
        <xdr:to>
          <xdr:col>3</xdr:col>
          <xdr:colOff>1876425</xdr:colOff>
          <xdr:row>7</xdr:row>
          <xdr:rowOff>76200</xdr:rowOff>
        </xdr:to>
        <xdr:sp macro="" textlink="">
          <xdr:nvSpPr>
            <xdr:cNvPr id="2084880" name="Button 16" hidden="1">
              <a:extLst>
                <a:ext uri="{63B3BB69-23CF-44E3-9099-C40C66FF867C}">
                  <a14:compatExt spid="_x0000_s2084880"/>
                </a:ext>
                <a:ext uri="{FF2B5EF4-FFF2-40B4-BE49-F238E27FC236}">
                  <a16:creationId xmlns:a16="http://schemas.microsoft.com/office/drawing/2014/main" id="{00000000-0008-0000-0100-000010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Other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5</xdr:row>
          <xdr:rowOff>104775</xdr:rowOff>
        </xdr:from>
        <xdr:to>
          <xdr:col>3</xdr:col>
          <xdr:colOff>1876425</xdr:colOff>
          <xdr:row>6</xdr:row>
          <xdr:rowOff>47625</xdr:rowOff>
        </xdr:to>
        <xdr:sp macro="" textlink="">
          <xdr:nvSpPr>
            <xdr:cNvPr id="2084885" name="Button 21" hidden="1">
              <a:extLst>
                <a:ext uri="{63B3BB69-23CF-44E3-9099-C40C66FF867C}">
                  <a14:compatExt spid="_x0000_s2084885"/>
                </a:ext>
                <a:ext uri="{FF2B5EF4-FFF2-40B4-BE49-F238E27FC236}">
                  <a16:creationId xmlns:a16="http://schemas.microsoft.com/office/drawing/2014/main" id="{00000000-0008-0000-0100-00001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Vendor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6</xdr:row>
          <xdr:rowOff>142875</xdr:rowOff>
        </xdr:from>
        <xdr:to>
          <xdr:col>7</xdr:col>
          <xdr:colOff>2038350</xdr:colOff>
          <xdr:row>7</xdr:row>
          <xdr:rowOff>66675</xdr:rowOff>
        </xdr:to>
        <xdr:sp macro="" textlink="">
          <xdr:nvSpPr>
            <xdr:cNvPr id="2084877" name="Button 13" hidden="1">
              <a:extLst>
                <a:ext uri="{63B3BB69-23CF-44E3-9099-C40C66FF867C}">
                  <a14:compatExt spid="_x0000_s2084877"/>
                </a:ext>
                <a:ext uri="{FF2B5EF4-FFF2-40B4-BE49-F238E27FC236}">
                  <a16:creationId xmlns:a16="http://schemas.microsoft.com/office/drawing/2014/main" id="{00000000-0008-0000-0100-00000D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114300</xdr:rowOff>
        </xdr:from>
        <xdr:to>
          <xdr:col>7</xdr:col>
          <xdr:colOff>2038350</xdr:colOff>
          <xdr:row>6</xdr:row>
          <xdr:rowOff>47625</xdr:rowOff>
        </xdr:to>
        <xdr:sp macro="" textlink="">
          <xdr:nvSpPr>
            <xdr:cNvPr id="2084884" name="Button 20" hidden="1">
              <a:extLst>
                <a:ext uri="{63B3BB69-23CF-44E3-9099-C40C66FF867C}">
                  <a14:compatExt spid="_x0000_s2084884"/>
                </a:ext>
                <a:ext uri="{FF2B5EF4-FFF2-40B4-BE49-F238E27FC236}">
                  <a16:creationId xmlns:a16="http://schemas.microsoft.com/office/drawing/2014/main" id="{00000000-0008-0000-0100-00001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System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7</xdr:row>
          <xdr:rowOff>152400</xdr:rowOff>
        </xdr:from>
        <xdr:to>
          <xdr:col>7</xdr:col>
          <xdr:colOff>2038350</xdr:colOff>
          <xdr:row>8</xdr:row>
          <xdr:rowOff>76200</xdr:rowOff>
        </xdr:to>
        <xdr:sp macro="" textlink="">
          <xdr:nvSpPr>
            <xdr:cNvPr id="2084886" name="Button 22" hidden="1">
              <a:extLst>
                <a:ext uri="{63B3BB69-23CF-44E3-9099-C40C66FF867C}">
                  <a14:compatExt spid="_x0000_s2084886"/>
                </a:ext>
                <a:ext uri="{FF2B5EF4-FFF2-40B4-BE49-F238E27FC236}">
                  <a16:creationId xmlns:a16="http://schemas.microsoft.com/office/drawing/2014/main" id="{00000000-0008-0000-0100-000016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Seller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9</xdr:row>
          <xdr:rowOff>228600</xdr:rowOff>
        </xdr:from>
        <xdr:to>
          <xdr:col>7</xdr:col>
          <xdr:colOff>2038350</xdr:colOff>
          <xdr:row>10</xdr:row>
          <xdr:rowOff>161925</xdr:rowOff>
        </xdr:to>
        <xdr:sp macro="" textlink="">
          <xdr:nvSpPr>
            <xdr:cNvPr id="2084887" name="Button 23" hidden="1">
              <a:extLst>
                <a:ext uri="{63B3BB69-23CF-44E3-9099-C40C66FF867C}">
                  <a14:compatExt spid="_x0000_s2084887"/>
                </a:ext>
                <a:ext uri="{FF2B5EF4-FFF2-40B4-BE49-F238E27FC236}">
                  <a16:creationId xmlns:a16="http://schemas.microsoft.com/office/drawing/2014/main" id="{00000000-0008-0000-0100-000017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Member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5</xdr:row>
          <xdr:rowOff>95250</xdr:rowOff>
        </xdr:from>
        <xdr:to>
          <xdr:col>4</xdr:col>
          <xdr:colOff>1914525</xdr:colOff>
          <xdr:row>6</xdr:row>
          <xdr:rowOff>38100</xdr:rowOff>
        </xdr:to>
        <xdr:sp macro="" textlink="">
          <xdr:nvSpPr>
            <xdr:cNvPr id="2084867" name="Button 3" hidden="1">
              <a:extLst>
                <a:ext uri="{63B3BB69-23CF-44E3-9099-C40C66FF867C}">
                  <a14:compatExt spid="_x0000_s2084867"/>
                </a:ext>
                <a:ext uri="{FF2B5EF4-FFF2-40B4-BE49-F238E27FC236}">
                  <a16:creationId xmlns:a16="http://schemas.microsoft.com/office/drawing/2014/main" id="{00000000-0008-0000-0100-00000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Customer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47625</xdr:rowOff>
        </xdr:from>
        <xdr:to>
          <xdr:col>4</xdr:col>
          <xdr:colOff>1914525</xdr:colOff>
          <xdr:row>11</xdr:row>
          <xdr:rowOff>76200</xdr:rowOff>
        </xdr:to>
        <xdr:sp macro="" textlink="">
          <xdr:nvSpPr>
            <xdr:cNvPr id="2084879" name="Button 15" hidden="1">
              <a:extLst>
                <a:ext uri="{63B3BB69-23CF-44E3-9099-C40C66FF867C}">
                  <a14:compatExt spid="_x0000_s2084879"/>
                </a:ext>
                <a:ext uri="{FF2B5EF4-FFF2-40B4-BE49-F238E27FC236}">
                  <a16:creationId xmlns:a16="http://schemas.microsoft.com/office/drawing/2014/main" id="{00000000-0008-0000-0100-00000F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Receive Payment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17</xdr:row>
          <xdr:rowOff>228600</xdr:rowOff>
        </xdr:from>
        <xdr:to>
          <xdr:col>8</xdr:col>
          <xdr:colOff>1952625</xdr:colOff>
          <xdr:row>18</xdr:row>
          <xdr:rowOff>161925</xdr:rowOff>
        </xdr:to>
        <xdr:sp macro="" textlink="">
          <xdr:nvSpPr>
            <xdr:cNvPr id="2084868" name="Button 4" hidden="1">
              <a:extLst>
                <a:ext uri="{63B3BB69-23CF-44E3-9099-C40C66FF867C}">
                  <a14:compatExt spid="_x0000_s2084868"/>
                </a:ext>
                <a:ext uri="{FF2B5EF4-FFF2-40B4-BE49-F238E27FC236}">
                  <a16:creationId xmlns:a16="http://schemas.microsoft.com/office/drawing/2014/main" id="{00000000-0008-0000-0100-00000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Sale Invoice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18</xdr:row>
          <xdr:rowOff>266700</xdr:rowOff>
        </xdr:from>
        <xdr:to>
          <xdr:col>8</xdr:col>
          <xdr:colOff>1952625</xdr:colOff>
          <xdr:row>19</xdr:row>
          <xdr:rowOff>200025</xdr:rowOff>
        </xdr:to>
        <xdr:sp macro="" textlink="">
          <xdr:nvSpPr>
            <xdr:cNvPr id="2084869" name="Button 5" hidden="1">
              <a:extLst>
                <a:ext uri="{63B3BB69-23CF-44E3-9099-C40C66FF867C}">
                  <a14:compatExt spid="_x0000_s2084869"/>
                </a:ext>
                <a:ext uri="{FF2B5EF4-FFF2-40B4-BE49-F238E27FC236}">
                  <a16:creationId xmlns:a16="http://schemas.microsoft.com/office/drawing/2014/main" id="{00000000-0008-0000-0100-00000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Sale Invoice Detail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104775</xdr:rowOff>
        </xdr:from>
        <xdr:to>
          <xdr:col>8</xdr:col>
          <xdr:colOff>1924050</xdr:colOff>
          <xdr:row>8</xdr:row>
          <xdr:rowOff>57150</xdr:rowOff>
        </xdr:to>
        <xdr:sp macro="" textlink="">
          <xdr:nvSpPr>
            <xdr:cNvPr id="2084872" name="Button 8" hidden="1">
              <a:extLst>
                <a:ext uri="{63B3BB69-23CF-44E3-9099-C40C66FF867C}">
                  <a14:compatExt spid="_x0000_s2084872"/>
                </a:ext>
                <a:ext uri="{FF2B5EF4-FFF2-40B4-BE49-F238E27FC236}">
                  <a16:creationId xmlns:a16="http://schemas.microsoft.com/office/drawing/2014/main" id="{00000000-0008-0000-0100-000008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Stock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15</xdr:row>
          <xdr:rowOff>133350</xdr:rowOff>
        </xdr:from>
        <xdr:to>
          <xdr:col>8</xdr:col>
          <xdr:colOff>1924050</xdr:colOff>
          <xdr:row>16</xdr:row>
          <xdr:rowOff>76200</xdr:rowOff>
        </xdr:to>
        <xdr:sp macro="" textlink="">
          <xdr:nvSpPr>
            <xdr:cNvPr id="2084889" name="Button 25" hidden="1">
              <a:extLst>
                <a:ext uri="{63B3BB69-23CF-44E3-9099-C40C66FF867C}">
                  <a14:compatExt spid="_x0000_s2084889"/>
                </a:ext>
                <a:ext uri="{FF2B5EF4-FFF2-40B4-BE49-F238E27FC236}">
                  <a16:creationId xmlns:a16="http://schemas.microsoft.com/office/drawing/2014/main" id="{00000000-0008-0000-0100-000019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Quotation List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180975</xdr:rowOff>
        </xdr:from>
        <xdr:to>
          <xdr:col>8</xdr:col>
          <xdr:colOff>1924050</xdr:colOff>
          <xdr:row>17</xdr:row>
          <xdr:rowOff>123825</xdr:rowOff>
        </xdr:to>
        <xdr:sp macro="" textlink="">
          <xdr:nvSpPr>
            <xdr:cNvPr id="2084890" name="Button 26" hidden="1">
              <a:extLst>
                <a:ext uri="{63B3BB69-23CF-44E3-9099-C40C66FF867C}">
                  <a14:compatExt spid="_x0000_s2084890"/>
                </a:ext>
                <a:ext uri="{FF2B5EF4-FFF2-40B4-BE49-F238E27FC236}">
                  <a16:creationId xmlns:a16="http://schemas.microsoft.com/office/drawing/2014/main" id="{00000000-0008-0000-0100-00001A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Quotation Detail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8</xdr:row>
          <xdr:rowOff>190500</xdr:rowOff>
        </xdr:from>
        <xdr:to>
          <xdr:col>7</xdr:col>
          <xdr:colOff>2038350</xdr:colOff>
          <xdr:row>9</xdr:row>
          <xdr:rowOff>114300</xdr:rowOff>
        </xdr:to>
        <xdr:sp macro="" textlink="">
          <xdr:nvSpPr>
            <xdr:cNvPr id="2084891" name="Button 27" hidden="1">
              <a:extLst>
                <a:ext uri="{63B3BB69-23CF-44E3-9099-C40C66FF867C}">
                  <a14:compatExt spid="_x0000_s2084891"/>
                </a:ext>
                <a:ext uri="{FF2B5EF4-FFF2-40B4-BE49-F238E27FC236}">
                  <a16:creationId xmlns:a16="http://schemas.microsoft.com/office/drawing/2014/main" id="{00000000-0008-0000-0100-00001B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Group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76200</xdr:rowOff>
        </xdr:from>
        <xdr:to>
          <xdr:col>3</xdr:col>
          <xdr:colOff>933450</xdr:colOff>
          <xdr:row>1</xdr:row>
          <xdr:rowOff>514350</xdr:rowOff>
        </xdr:to>
        <xdr:sp macro="" textlink="">
          <xdr:nvSpPr>
            <xdr:cNvPr id="2084895" name="Button 31" hidden="1">
              <a:extLst>
                <a:ext uri="{63B3BB69-23CF-44E3-9099-C40C66FF867C}">
                  <a14:compatExt spid="_x0000_s2084895"/>
                </a:ext>
                <a:ext uri="{FF2B5EF4-FFF2-40B4-BE49-F238E27FC236}">
                  <a16:creationId xmlns:a16="http://schemas.microsoft.com/office/drawing/2014/main" id="{00000000-0008-0000-0100-00001F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Go To Last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142875</xdr:rowOff>
        </xdr:from>
        <xdr:to>
          <xdr:col>8</xdr:col>
          <xdr:colOff>1924050</xdr:colOff>
          <xdr:row>9</xdr:row>
          <xdr:rowOff>95250</xdr:rowOff>
        </xdr:to>
        <xdr:sp macro="" textlink="">
          <xdr:nvSpPr>
            <xdr:cNvPr id="2084897" name="Button 33" hidden="1">
              <a:extLst>
                <a:ext uri="{63B3BB69-23CF-44E3-9099-C40C66FF867C}">
                  <a14:compatExt spid="_x0000_s2084897"/>
                </a:ext>
                <a:ext uri="{FF2B5EF4-FFF2-40B4-BE49-F238E27FC236}">
                  <a16:creationId xmlns:a16="http://schemas.microsoft.com/office/drawing/2014/main" id="{00000000-0008-0000-0100-000021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Stock Detail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171450</xdr:rowOff>
        </xdr:from>
        <xdr:to>
          <xdr:col>8</xdr:col>
          <xdr:colOff>1924050</xdr:colOff>
          <xdr:row>10</xdr:row>
          <xdr:rowOff>104775</xdr:rowOff>
        </xdr:to>
        <xdr:sp macro="" textlink="">
          <xdr:nvSpPr>
            <xdr:cNvPr id="2084903" name="Button 39" hidden="1">
              <a:extLst>
                <a:ext uri="{63B3BB69-23CF-44E3-9099-C40C66FF867C}">
                  <a14:compatExt spid="_x0000_s2084903"/>
                </a:ext>
                <a:ext uri="{FF2B5EF4-FFF2-40B4-BE49-F238E27FC236}">
                  <a16:creationId xmlns:a16="http://schemas.microsoft.com/office/drawing/2014/main" id="{00000000-0008-0000-0100-000027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190500</xdr:rowOff>
        </xdr:from>
        <xdr:to>
          <xdr:col>8</xdr:col>
          <xdr:colOff>1924050</xdr:colOff>
          <xdr:row>11</xdr:row>
          <xdr:rowOff>142875</xdr:rowOff>
        </xdr:to>
        <xdr:sp macro="" textlink="">
          <xdr:nvSpPr>
            <xdr:cNvPr id="2084904" name="Button 40" hidden="1">
              <a:extLst>
                <a:ext uri="{63B3BB69-23CF-44E3-9099-C40C66FF867C}">
                  <a14:compatExt spid="_x0000_s2084904"/>
                </a:ext>
                <a:ext uri="{FF2B5EF4-FFF2-40B4-BE49-F238E27FC236}">
                  <a16:creationId xmlns:a16="http://schemas.microsoft.com/office/drawing/2014/main" id="{00000000-0008-0000-0100-000028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228600</xdr:rowOff>
        </xdr:from>
        <xdr:to>
          <xdr:col>8</xdr:col>
          <xdr:colOff>1924050</xdr:colOff>
          <xdr:row>12</xdr:row>
          <xdr:rowOff>180975</xdr:rowOff>
        </xdr:to>
        <xdr:sp macro="" textlink="">
          <xdr:nvSpPr>
            <xdr:cNvPr id="2084905" name="Button 41" hidden="1">
              <a:extLst>
                <a:ext uri="{63B3BB69-23CF-44E3-9099-C40C66FF867C}">
                  <a14:compatExt spid="_x0000_s2084905"/>
                </a:ext>
                <a:ext uri="{FF2B5EF4-FFF2-40B4-BE49-F238E27FC236}">
                  <a16:creationId xmlns:a16="http://schemas.microsoft.com/office/drawing/2014/main" id="{00000000-0008-0000-0100-000029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Total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190500</xdr:rowOff>
        </xdr:from>
        <xdr:to>
          <xdr:col>3</xdr:col>
          <xdr:colOff>1876425</xdr:colOff>
          <xdr:row>8</xdr:row>
          <xdr:rowOff>133350</xdr:rowOff>
        </xdr:to>
        <xdr:sp macro="" textlink="">
          <xdr:nvSpPr>
            <xdr:cNvPr id="2084906" name="Button 42" hidden="1">
              <a:extLst>
                <a:ext uri="{63B3BB69-23CF-44E3-9099-C40C66FF867C}">
                  <a14:compatExt spid="_x0000_s2084906"/>
                </a:ext>
                <a:ext uri="{FF2B5EF4-FFF2-40B4-BE49-F238E27FC236}">
                  <a16:creationId xmlns:a16="http://schemas.microsoft.com/office/drawing/2014/main" id="{00000000-0008-0000-0100-00002A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Purchase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11</xdr:row>
          <xdr:rowOff>323850</xdr:rowOff>
        </xdr:from>
        <xdr:to>
          <xdr:col>7</xdr:col>
          <xdr:colOff>2038350</xdr:colOff>
          <xdr:row>12</xdr:row>
          <xdr:rowOff>247650</xdr:rowOff>
        </xdr:to>
        <xdr:sp macro="" textlink="">
          <xdr:nvSpPr>
            <xdr:cNvPr id="2084907" name="Button 43" hidden="1">
              <a:extLst>
                <a:ext uri="{63B3BB69-23CF-44E3-9099-C40C66FF867C}">
                  <a14:compatExt spid="_x0000_s2084907"/>
                </a:ext>
                <a:ext uri="{FF2B5EF4-FFF2-40B4-BE49-F238E27FC236}">
                  <a16:creationId xmlns:a16="http://schemas.microsoft.com/office/drawing/2014/main" id="{00000000-0008-0000-0100-00002B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12</xdr:row>
          <xdr:rowOff>400050</xdr:rowOff>
        </xdr:from>
        <xdr:to>
          <xdr:col>7</xdr:col>
          <xdr:colOff>2038350</xdr:colOff>
          <xdr:row>13</xdr:row>
          <xdr:rowOff>247650</xdr:rowOff>
        </xdr:to>
        <xdr:sp macro="" textlink="">
          <xdr:nvSpPr>
            <xdr:cNvPr id="2084908" name="Button 44" hidden="1">
              <a:extLst>
                <a:ext uri="{63B3BB69-23CF-44E3-9099-C40C66FF867C}">
                  <a14:compatExt spid="_x0000_s2084908"/>
                </a:ext>
                <a:ext uri="{FF2B5EF4-FFF2-40B4-BE49-F238E27FC236}">
                  <a16:creationId xmlns:a16="http://schemas.microsoft.com/office/drawing/2014/main" id="{00000000-0008-0000-0100-00002C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Module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14</xdr:row>
          <xdr:rowOff>9525</xdr:rowOff>
        </xdr:from>
        <xdr:to>
          <xdr:col>7</xdr:col>
          <xdr:colOff>2038350</xdr:colOff>
          <xdr:row>14</xdr:row>
          <xdr:rowOff>314325</xdr:rowOff>
        </xdr:to>
        <xdr:sp macro="" textlink="">
          <xdr:nvSpPr>
            <xdr:cNvPr id="2084909" name="Button 45" hidden="1">
              <a:extLst>
                <a:ext uri="{63B3BB69-23CF-44E3-9099-C40C66FF867C}">
                  <a14:compatExt spid="_x0000_s2084909"/>
                </a:ext>
                <a:ext uri="{FF2B5EF4-FFF2-40B4-BE49-F238E27FC236}">
                  <a16:creationId xmlns:a16="http://schemas.microsoft.com/office/drawing/2014/main" id="{00000000-0008-0000-0100-00002D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6</xdr:row>
          <xdr:rowOff>123825</xdr:rowOff>
        </xdr:from>
        <xdr:to>
          <xdr:col>2</xdr:col>
          <xdr:colOff>1800225</xdr:colOff>
          <xdr:row>7</xdr:row>
          <xdr:rowOff>76200</xdr:rowOff>
        </xdr:to>
        <xdr:sp macro="" textlink="">
          <xdr:nvSpPr>
            <xdr:cNvPr id="2084910" name="Button 46" hidden="1">
              <a:extLst>
                <a:ext uri="{63B3BB69-23CF-44E3-9099-C40C66FF867C}">
                  <a14:compatExt spid="_x0000_s2084910"/>
                </a:ext>
                <a:ext uri="{FF2B5EF4-FFF2-40B4-BE49-F238E27FC236}">
                  <a16:creationId xmlns:a16="http://schemas.microsoft.com/office/drawing/2014/main" id="{00000000-0008-0000-0100-00002E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UOM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7</xdr:row>
          <xdr:rowOff>133350</xdr:rowOff>
        </xdr:from>
        <xdr:to>
          <xdr:col>2</xdr:col>
          <xdr:colOff>1800225</xdr:colOff>
          <xdr:row>8</xdr:row>
          <xdr:rowOff>85725</xdr:rowOff>
        </xdr:to>
        <xdr:sp macro="" textlink="">
          <xdr:nvSpPr>
            <xdr:cNvPr id="2084911" name="Button 47" hidden="1">
              <a:extLst>
                <a:ext uri="{63B3BB69-23CF-44E3-9099-C40C66FF867C}">
                  <a14:compatExt spid="_x0000_s2084911"/>
                </a:ext>
                <a:ext uri="{FF2B5EF4-FFF2-40B4-BE49-F238E27FC236}">
                  <a16:creationId xmlns:a16="http://schemas.microsoft.com/office/drawing/2014/main" id="{00000000-0008-0000-0100-00002F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Uom Conversion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8</xdr:row>
          <xdr:rowOff>171450</xdr:rowOff>
        </xdr:from>
        <xdr:to>
          <xdr:col>2</xdr:col>
          <xdr:colOff>1800225</xdr:colOff>
          <xdr:row>9</xdr:row>
          <xdr:rowOff>123825</xdr:rowOff>
        </xdr:to>
        <xdr:sp macro="" textlink="">
          <xdr:nvSpPr>
            <xdr:cNvPr id="2084912" name="Button 48" hidden="1">
              <a:extLst>
                <a:ext uri="{63B3BB69-23CF-44E3-9099-C40C66FF867C}">
                  <a14:compatExt spid="_x0000_s2084912"/>
                </a:ext>
                <a:ext uri="{FF2B5EF4-FFF2-40B4-BE49-F238E27FC236}">
                  <a16:creationId xmlns:a16="http://schemas.microsoft.com/office/drawing/2014/main" id="{00000000-0008-0000-0100-000030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10</xdr:row>
          <xdr:rowOff>266700</xdr:rowOff>
        </xdr:from>
        <xdr:to>
          <xdr:col>7</xdr:col>
          <xdr:colOff>2038350</xdr:colOff>
          <xdr:row>11</xdr:row>
          <xdr:rowOff>190500</xdr:rowOff>
        </xdr:to>
        <xdr:sp macro="" textlink="">
          <xdr:nvSpPr>
            <xdr:cNvPr id="2084913" name="Button 49" hidden="1">
              <a:extLst>
                <a:ext uri="{63B3BB69-23CF-44E3-9099-C40C66FF867C}">
                  <a14:compatExt spid="_x0000_s2084913"/>
                </a:ext>
                <a:ext uri="{FF2B5EF4-FFF2-40B4-BE49-F238E27FC236}">
                  <a16:creationId xmlns:a16="http://schemas.microsoft.com/office/drawing/2014/main" id="{00000000-0008-0000-0100-000031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76200</xdr:rowOff>
        </xdr:from>
        <xdr:to>
          <xdr:col>2</xdr:col>
          <xdr:colOff>1304925</xdr:colOff>
          <xdr:row>1</xdr:row>
          <xdr:rowOff>504825</xdr:rowOff>
        </xdr:to>
        <xdr:sp macro="" textlink="">
          <xdr:nvSpPr>
            <xdr:cNvPr id="2084914" name="Button 50" hidden="1">
              <a:extLst>
                <a:ext uri="{63B3BB69-23CF-44E3-9099-C40C66FF867C}">
                  <a14:compatExt spid="_x0000_s2084914"/>
                </a:ext>
                <a:ext uri="{FF2B5EF4-FFF2-40B4-BE49-F238E27FC236}">
                  <a16:creationId xmlns:a16="http://schemas.microsoft.com/office/drawing/2014/main" id="{00000000-0008-0000-0100-00003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6</xdr:row>
          <xdr:rowOff>123825</xdr:rowOff>
        </xdr:from>
        <xdr:to>
          <xdr:col>4</xdr:col>
          <xdr:colOff>1914525</xdr:colOff>
          <xdr:row>7</xdr:row>
          <xdr:rowOff>76200</xdr:rowOff>
        </xdr:to>
        <xdr:sp macro="" textlink="">
          <xdr:nvSpPr>
            <xdr:cNvPr id="2084915" name="Button 51" hidden="1">
              <a:extLst>
                <a:ext uri="{63B3BB69-23CF-44E3-9099-C40C66FF867C}">
                  <a14:compatExt spid="_x0000_s2084915"/>
                </a:ext>
                <a:ext uri="{FF2B5EF4-FFF2-40B4-BE49-F238E27FC236}">
                  <a16:creationId xmlns:a16="http://schemas.microsoft.com/office/drawing/2014/main" id="{00000000-0008-0000-0100-00003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Ship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8</xdr:row>
          <xdr:rowOff>276225</xdr:rowOff>
        </xdr:from>
        <xdr:to>
          <xdr:col>4</xdr:col>
          <xdr:colOff>1914525</xdr:colOff>
          <xdr:row>9</xdr:row>
          <xdr:rowOff>295275</xdr:rowOff>
        </xdr:to>
        <xdr:sp macro="" textlink="">
          <xdr:nvSpPr>
            <xdr:cNvPr id="2084901" name="Button 37" hidden="1">
              <a:extLst>
                <a:ext uri="{63B3BB69-23CF-44E3-9099-C40C66FF867C}">
                  <a14:compatExt spid="_x0000_s2084901"/>
                </a:ext>
                <a:ext uri="{FF2B5EF4-FFF2-40B4-BE49-F238E27FC236}">
                  <a16:creationId xmlns:a16="http://schemas.microsoft.com/office/drawing/2014/main" id="{00000000-0008-0000-0100-00002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Invoice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209550</xdr:rowOff>
        </xdr:from>
        <xdr:to>
          <xdr:col>4</xdr:col>
          <xdr:colOff>1914525</xdr:colOff>
          <xdr:row>8</xdr:row>
          <xdr:rowOff>152400</xdr:rowOff>
        </xdr:to>
        <xdr:sp macro="" textlink="">
          <xdr:nvSpPr>
            <xdr:cNvPr id="2084888" name="Button 24" hidden="1">
              <a:extLst>
                <a:ext uri="{63B3BB69-23CF-44E3-9099-C40C66FF867C}">
                  <a14:compatExt spid="_x0000_s2084888"/>
                </a:ext>
                <a:ext uri="{FF2B5EF4-FFF2-40B4-BE49-F238E27FC236}">
                  <a16:creationId xmlns:a16="http://schemas.microsoft.com/office/drawing/2014/main" id="{00000000-0008-0000-0100-000018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Quotation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11</xdr:row>
          <xdr:rowOff>200025</xdr:rowOff>
        </xdr:from>
        <xdr:to>
          <xdr:col>4</xdr:col>
          <xdr:colOff>1914525</xdr:colOff>
          <xdr:row>12</xdr:row>
          <xdr:rowOff>228600</xdr:rowOff>
        </xdr:to>
        <xdr:sp macro="" textlink="">
          <xdr:nvSpPr>
            <xdr:cNvPr id="2084916" name="Button 52" hidden="1">
              <a:extLst>
                <a:ext uri="{63B3BB69-23CF-44E3-9099-C40C66FF867C}">
                  <a14:compatExt spid="_x0000_s2084916"/>
                </a:ext>
                <a:ext uri="{FF2B5EF4-FFF2-40B4-BE49-F238E27FC236}">
                  <a16:creationId xmlns:a16="http://schemas.microsoft.com/office/drawing/2014/main" id="{00000000-0008-0000-0100-00003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Other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323850</xdr:rowOff>
        </xdr:from>
        <xdr:to>
          <xdr:col>2</xdr:col>
          <xdr:colOff>1800225</xdr:colOff>
          <xdr:row>12</xdr:row>
          <xdr:rowOff>276225</xdr:rowOff>
        </xdr:to>
        <xdr:sp macro="" textlink="">
          <xdr:nvSpPr>
            <xdr:cNvPr id="2084917" name="Button 53" hidden="1">
              <a:extLst>
                <a:ext uri="{63B3BB69-23CF-44E3-9099-C40C66FF867C}">
                  <a14:compatExt spid="_x0000_s2084917"/>
                </a:ext>
                <a:ext uri="{FF2B5EF4-FFF2-40B4-BE49-F238E27FC236}">
                  <a16:creationId xmlns:a16="http://schemas.microsoft.com/office/drawing/2014/main" id="{00000000-0008-0000-0100-00003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Product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1</xdr:row>
          <xdr:rowOff>114300</xdr:rowOff>
        </xdr:from>
        <xdr:to>
          <xdr:col>8</xdr:col>
          <xdr:colOff>1885950</xdr:colOff>
          <xdr:row>1</xdr:row>
          <xdr:rowOff>495300</xdr:rowOff>
        </xdr:to>
        <xdr:sp macro="" textlink="">
          <xdr:nvSpPr>
            <xdr:cNvPr id="2084918" name="Button 54" hidden="1">
              <a:extLst>
                <a:ext uri="{63B3BB69-23CF-44E3-9099-C40C66FF867C}">
                  <a14:compatExt spid="_x0000_s2084918"/>
                </a:ext>
                <a:ext uri="{FF2B5EF4-FFF2-40B4-BE49-F238E27FC236}">
                  <a16:creationId xmlns:a16="http://schemas.microsoft.com/office/drawing/2014/main" id="{00000000-0008-0000-0100-000036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KSCM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12</xdr:row>
          <xdr:rowOff>352425</xdr:rowOff>
        </xdr:from>
        <xdr:to>
          <xdr:col>4</xdr:col>
          <xdr:colOff>1914525</xdr:colOff>
          <xdr:row>13</xdr:row>
          <xdr:rowOff>219075</xdr:rowOff>
        </xdr:to>
        <xdr:sp macro="" textlink="">
          <xdr:nvSpPr>
            <xdr:cNvPr id="2084919" name="Button 55" hidden="1">
              <a:extLst>
                <a:ext uri="{63B3BB69-23CF-44E3-9099-C40C66FF867C}">
                  <a14:compatExt spid="_x0000_s2084919"/>
                </a:ext>
                <a:ext uri="{FF2B5EF4-FFF2-40B4-BE49-F238E27FC236}">
                  <a16:creationId xmlns:a16="http://schemas.microsoft.com/office/drawing/2014/main" id="{00000000-0008-0000-0100-000037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Customer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16</xdr:row>
          <xdr:rowOff>200025</xdr:rowOff>
        </xdr:from>
        <xdr:to>
          <xdr:col>7</xdr:col>
          <xdr:colOff>2038350</xdr:colOff>
          <xdr:row>17</xdr:row>
          <xdr:rowOff>104775</xdr:rowOff>
        </xdr:to>
        <xdr:sp macro="" textlink="">
          <xdr:nvSpPr>
            <xdr:cNvPr id="2084920" name="Button 56" hidden="1">
              <a:extLst>
                <a:ext uri="{63B3BB69-23CF-44E3-9099-C40C66FF867C}">
                  <a14:compatExt spid="_x0000_s2084920"/>
                </a:ext>
                <a:ext uri="{FF2B5EF4-FFF2-40B4-BE49-F238E27FC236}">
                  <a16:creationId xmlns:a16="http://schemas.microsoft.com/office/drawing/2014/main" id="{00000000-0008-0000-0100-000038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17</xdr:row>
          <xdr:rowOff>266700</xdr:rowOff>
        </xdr:from>
        <xdr:to>
          <xdr:col>7</xdr:col>
          <xdr:colOff>2038350</xdr:colOff>
          <xdr:row>18</xdr:row>
          <xdr:rowOff>171450</xdr:rowOff>
        </xdr:to>
        <xdr:sp macro="" textlink="">
          <xdr:nvSpPr>
            <xdr:cNvPr id="2084921" name="Button 57" hidden="1">
              <a:extLst>
                <a:ext uri="{63B3BB69-23CF-44E3-9099-C40C66FF867C}">
                  <a14:compatExt spid="_x0000_s2084921"/>
                </a:ext>
                <a:ext uri="{FF2B5EF4-FFF2-40B4-BE49-F238E27FC236}">
                  <a16:creationId xmlns:a16="http://schemas.microsoft.com/office/drawing/2014/main" id="{00000000-0008-0000-0100-000039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18</xdr:row>
          <xdr:rowOff>314325</xdr:rowOff>
        </xdr:from>
        <xdr:to>
          <xdr:col>7</xdr:col>
          <xdr:colOff>2038350</xdr:colOff>
          <xdr:row>19</xdr:row>
          <xdr:rowOff>219075</xdr:rowOff>
        </xdr:to>
        <xdr:sp macro="" textlink="">
          <xdr:nvSpPr>
            <xdr:cNvPr id="2084922" name="Button 58" hidden="1">
              <a:extLst>
                <a:ext uri="{63B3BB69-23CF-44E3-9099-C40C66FF867C}">
                  <a14:compatExt spid="_x0000_s2084922"/>
                </a:ext>
                <a:ext uri="{FF2B5EF4-FFF2-40B4-BE49-F238E27FC236}">
                  <a16:creationId xmlns:a16="http://schemas.microsoft.com/office/drawing/2014/main" id="{00000000-0008-0000-0100-00003A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171450</xdr:rowOff>
        </xdr:from>
        <xdr:to>
          <xdr:col>6</xdr:col>
          <xdr:colOff>2047875</xdr:colOff>
          <xdr:row>7</xdr:row>
          <xdr:rowOff>133350</xdr:rowOff>
        </xdr:to>
        <xdr:sp macro="" textlink="">
          <xdr:nvSpPr>
            <xdr:cNvPr id="2084923" name="Button 59" hidden="1">
              <a:extLst>
                <a:ext uri="{63B3BB69-23CF-44E3-9099-C40C66FF867C}">
                  <a14:compatExt spid="_x0000_s2084923"/>
                </a:ext>
                <a:ext uri="{FF2B5EF4-FFF2-40B4-BE49-F238E27FC236}">
                  <a16:creationId xmlns:a16="http://schemas.microsoft.com/office/drawing/2014/main" id="{00000000-0008-0000-0100-00003B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Financial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8</xdr:row>
          <xdr:rowOff>161925</xdr:rowOff>
        </xdr:from>
        <xdr:to>
          <xdr:col>9</xdr:col>
          <xdr:colOff>2047875</xdr:colOff>
          <xdr:row>9</xdr:row>
          <xdr:rowOff>104775</xdr:rowOff>
        </xdr:to>
        <xdr:sp macro="" textlink="">
          <xdr:nvSpPr>
            <xdr:cNvPr id="2084924" name="Button 60" hidden="1">
              <a:extLst>
                <a:ext uri="{63B3BB69-23CF-44E3-9099-C40C66FF867C}">
                  <a14:compatExt spid="_x0000_s2084924"/>
                </a:ext>
                <a:ext uri="{FF2B5EF4-FFF2-40B4-BE49-F238E27FC236}">
                  <a16:creationId xmlns:a16="http://schemas.microsoft.com/office/drawing/2014/main" id="{00000000-0008-0000-0100-00003C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General Ledgers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9</xdr:row>
          <xdr:rowOff>171450</xdr:rowOff>
        </xdr:from>
        <xdr:to>
          <xdr:col>9</xdr:col>
          <xdr:colOff>2047875</xdr:colOff>
          <xdr:row>10</xdr:row>
          <xdr:rowOff>133350</xdr:rowOff>
        </xdr:to>
        <xdr:sp macro="" textlink="">
          <xdr:nvSpPr>
            <xdr:cNvPr id="2084925" name="Button 61" hidden="1">
              <a:extLst>
                <a:ext uri="{63B3BB69-23CF-44E3-9099-C40C66FF867C}">
                  <a14:compatExt spid="_x0000_s2084925"/>
                </a:ext>
                <a:ext uri="{FF2B5EF4-FFF2-40B4-BE49-F238E27FC236}">
                  <a16:creationId xmlns:a16="http://schemas.microsoft.com/office/drawing/2014/main" id="{00000000-0008-0000-0100-00003D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General Ledger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238125</xdr:rowOff>
        </xdr:from>
        <xdr:to>
          <xdr:col>6</xdr:col>
          <xdr:colOff>2047875</xdr:colOff>
          <xdr:row>8</xdr:row>
          <xdr:rowOff>200025</xdr:rowOff>
        </xdr:to>
        <xdr:sp macro="" textlink="">
          <xdr:nvSpPr>
            <xdr:cNvPr id="2084926" name="Button 62" hidden="1">
              <a:extLst>
                <a:ext uri="{63B3BB69-23CF-44E3-9099-C40C66FF867C}">
                  <a14:compatExt spid="_x0000_s2084926"/>
                </a:ext>
                <a:ext uri="{FF2B5EF4-FFF2-40B4-BE49-F238E27FC236}">
                  <a16:creationId xmlns:a16="http://schemas.microsoft.com/office/drawing/2014/main" id="{00000000-0008-0000-0100-00003E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Profit &amp;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76200</xdr:rowOff>
        </xdr:from>
        <xdr:to>
          <xdr:col>8</xdr:col>
          <xdr:colOff>1924050</xdr:colOff>
          <xdr:row>6</xdr:row>
          <xdr:rowOff>19050</xdr:rowOff>
        </xdr:to>
        <xdr:sp macro="" textlink="">
          <xdr:nvSpPr>
            <xdr:cNvPr id="2084930" name="Button 66" hidden="1">
              <a:extLst>
                <a:ext uri="{63B3BB69-23CF-44E3-9099-C40C66FF867C}">
                  <a14:compatExt spid="_x0000_s2084930"/>
                </a:ext>
                <a:ext uri="{FF2B5EF4-FFF2-40B4-BE49-F238E27FC236}">
                  <a16:creationId xmlns:a16="http://schemas.microsoft.com/office/drawing/2014/main" id="{00000000-0008-0000-0100-00004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Purchase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85725</xdr:rowOff>
        </xdr:from>
        <xdr:to>
          <xdr:col>8</xdr:col>
          <xdr:colOff>1924050</xdr:colOff>
          <xdr:row>7</xdr:row>
          <xdr:rowOff>28575</xdr:rowOff>
        </xdr:to>
        <xdr:sp macro="" textlink="">
          <xdr:nvSpPr>
            <xdr:cNvPr id="2084931" name="Button 67" hidden="1">
              <a:extLst>
                <a:ext uri="{63B3BB69-23CF-44E3-9099-C40C66FF867C}">
                  <a14:compatExt spid="_x0000_s2084931"/>
                </a:ext>
                <a:ext uri="{FF2B5EF4-FFF2-40B4-BE49-F238E27FC236}">
                  <a16:creationId xmlns:a16="http://schemas.microsoft.com/office/drawing/2014/main" id="{00000000-0008-0000-0100-00004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Purchase Bill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114300</xdr:rowOff>
        </xdr:from>
        <xdr:to>
          <xdr:col>9</xdr:col>
          <xdr:colOff>2038350</xdr:colOff>
          <xdr:row>6</xdr:row>
          <xdr:rowOff>76200</xdr:rowOff>
        </xdr:to>
        <xdr:sp macro="" textlink="">
          <xdr:nvSpPr>
            <xdr:cNvPr id="2084932" name="Button 68" hidden="1">
              <a:extLst>
                <a:ext uri="{63B3BB69-23CF-44E3-9099-C40C66FF867C}">
                  <a14:compatExt spid="_x0000_s2084932"/>
                </a:ext>
                <a:ext uri="{FF2B5EF4-FFF2-40B4-BE49-F238E27FC236}">
                  <a16:creationId xmlns:a16="http://schemas.microsoft.com/office/drawing/2014/main" id="{00000000-0008-0000-0100-00004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Receive Payment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161925</xdr:rowOff>
        </xdr:from>
        <xdr:to>
          <xdr:col>9</xdr:col>
          <xdr:colOff>2057400</xdr:colOff>
          <xdr:row>7</xdr:row>
          <xdr:rowOff>95250</xdr:rowOff>
        </xdr:to>
        <xdr:sp macro="" textlink="">
          <xdr:nvSpPr>
            <xdr:cNvPr id="2084933" name="Button 69" hidden="1">
              <a:extLst>
                <a:ext uri="{63B3BB69-23CF-44E3-9099-C40C66FF867C}">
                  <a14:compatExt spid="_x0000_s2084933"/>
                </a:ext>
                <a:ext uri="{FF2B5EF4-FFF2-40B4-BE49-F238E27FC236}">
                  <a16:creationId xmlns:a16="http://schemas.microsoft.com/office/drawing/2014/main" id="{00000000-0008-0000-0100-00004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Receive Payment 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7</xdr:row>
          <xdr:rowOff>142875</xdr:rowOff>
        </xdr:from>
        <xdr:to>
          <xdr:col>9</xdr:col>
          <xdr:colOff>2038350</xdr:colOff>
          <xdr:row>8</xdr:row>
          <xdr:rowOff>104775</xdr:rowOff>
        </xdr:to>
        <xdr:sp macro="" textlink="">
          <xdr:nvSpPr>
            <xdr:cNvPr id="2084934" name="Button 70" hidden="1">
              <a:extLst>
                <a:ext uri="{63B3BB69-23CF-44E3-9099-C40C66FF867C}">
                  <a14:compatExt spid="_x0000_s2084934"/>
                </a:ext>
                <a:ext uri="{FF2B5EF4-FFF2-40B4-BE49-F238E27FC236}">
                  <a16:creationId xmlns:a16="http://schemas.microsoft.com/office/drawing/2014/main" id="{00000000-0008-0000-0100-000046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Sales Invoice Receipt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</xdr:row>
          <xdr:rowOff>219075</xdr:rowOff>
        </xdr:from>
        <xdr:to>
          <xdr:col>9</xdr:col>
          <xdr:colOff>1990725</xdr:colOff>
          <xdr:row>11</xdr:row>
          <xdr:rowOff>152400</xdr:rowOff>
        </xdr:to>
        <xdr:sp macro="" textlink="">
          <xdr:nvSpPr>
            <xdr:cNvPr id="2084935" name="Button 71" hidden="1">
              <a:extLst>
                <a:ext uri="{63B3BB69-23CF-44E3-9099-C40C66FF867C}">
                  <a14:compatExt spid="_x0000_s2084935"/>
                </a:ext>
                <a:ext uri="{FF2B5EF4-FFF2-40B4-BE49-F238E27FC236}">
                  <a16:creationId xmlns:a16="http://schemas.microsoft.com/office/drawing/2014/main" id="{00000000-0008-0000-0100-000047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Valuation</a:t>
              </a:r>
            </a:p>
            <a:p>
              <a:pPr algn="ctr" rtl="0">
                <a:defRPr sz="1000"/>
              </a:pPr>
              <a:endParaRPr lang="en-US" sz="1200" b="0" i="0" u="sng" strike="noStrike" baseline="0">
                <a:solidFill>
                  <a:srgbClr val="3366FF"/>
                </a:solidFill>
                <a:latin typeface="Roboto"/>
                <a:ea typeface="Roboto"/>
                <a:cs typeface="Robo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13</xdr:row>
          <xdr:rowOff>342900</xdr:rowOff>
        </xdr:from>
        <xdr:to>
          <xdr:col>4</xdr:col>
          <xdr:colOff>1914525</xdr:colOff>
          <xdr:row>15</xdr:row>
          <xdr:rowOff>0</xdr:rowOff>
        </xdr:to>
        <xdr:sp macro="" textlink="">
          <xdr:nvSpPr>
            <xdr:cNvPr id="2084936" name="Button 72" hidden="1">
              <a:extLst>
                <a:ext uri="{63B3BB69-23CF-44E3-9099-C40C66FF867C}">
                  <a14:compatExt spid="_x0000_s2084936"/>
                </a:ext>
                <a:ext uri="{FF2B5EF4-FFF2-40B4-BE49-F238E27FC236}">
                  <a16:creationId xmlns:a16="http://schemas.microsoft.com/office/drawing/2014/main" id="{00000000-0008-0000-0100-000048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Print Invoice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12</xdr:row>
          <xdr:rowOff>400050</xdr:rowOff>
        </xdr:from>
        <xdr:to>
          <xdr:col>2</xdr:col>
          <xdr:colOff>1800225</xdr:colOff>
          <xdr:row>14</xdr:row>
          <xdr:rowOff>142875</xdr:rowOff>
        </xdr:to>
        <xdr:sp macro="" textlink="">
          <xdr:nvSpPr>
            <xdr:cNvPr id="2084937" name="Button 73" hidden="1">
              <a:extLst>
                <a:ext uri="{63B3BB69-23CF-44E3-9099-C40C66FF867C}">
                  <a14:compatExt spid="_x0000_s2084937"/>
                </a:ext>
                <a:ext uri="{FF2B5EF4-FFF2-40B4-BE49-F238E27FC236}">
                  <a16:creationId xmlns:a16="http://schemas.microsoft.com/office/drawing/2014/main" id="{00000000-0008-0000-0100-000049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Product Unit Cost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14</xdr:row>
          <xdr:rowOff>209550</xdr:rowOff>
        </xdr:from>
        <xdr:to>
          <xdr:col>2</xdr:col>
          <xdr:colOff>1800225</xdr:colOff>
          <xdr:row>16</xdr:row>
          <xdr:rowOff>47625</xdr:rowOff>
        </xdr:to>
        <xdr:sp macro="" textlink="">
          <xdr:nvSpPr>
            <xdr:cNvPr id="2084938" name="Button 74" hidden="1">
              <a:extLst>
                <a:ext uri="{63B3BB69-23CF-44E3-9099-C40C66FF867C}">
                  <a14:compatExt spid="_x0000_s2084938"/>
                </a:ext>
                <a:ext uri="{FF2B5EF4-FFF2-40B4-BE49-F238E27FC236}">
                  <a16:creationId xmlns:a16="http://schemas.microsoft.com/office/drawing/2014/main" id="{00000000-0008-0000-0100-00004A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Product Unit Price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8</xdr:row>
          <xdr:rowOff>219075</xdr:rowOff>
        </xdr:from>
        <xdr:to>
          <xdr:col>3</xdr:col>
          <xdr:colOff>1876425</xdr:colOff>
          <xdr:row>9</xdr:row>
          <xdr:rowOff>161925</xdr:rowOff>
        </xdr:to>
        <xdr:sp macro="" textlink="">
          <xdr:nvSpPr>
            <xdr:cNvPr id="2084939" name="Button 75" hidden="1">
              <a:extLst>
                <a:ext uri="{63B3BB69-23CF-44E3-9099-C40C66FF867C}">
                  <a14:compatExt spid="_x0000_s2084939"/>
                </a:ext>
                <a:ext uri="{FF2B5EF4-FFF2-40B4-BE49-F238E27FC236}">
                  <a16:creationId xmlns:a16="http://schemas.microsoft.com/office/drawing/2014/main" id="{00000000-0008-0000-0100-00004B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To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276225</xdr:rowOff>
        </xdr:from>
        <xdr:to>
          <xdr:col>8</xdr:col>
          <xdr:colOff>1933575</xdr:colOff>
          <xdr:row>13</xdr:row>
          <xdr:rowOff>209550</xdr:rowOff>
        </xdr:to>
        <xdr:sp macro="" textlink="">
          <xdr:nvSpPr>
            <xdr:cNvPr id="2084946" name="Button 82" hidden="1">
              <a:extLst>
                <a:ext uri="{63B3BB69-23CF-44E3-9099-C40C66FF867C}">
                  <a14:compatExt spid="_x0000_s2084946"/>
                </a:ext>
                <a:ext uri="{FF2B5EF4-FFF2-40B4-BE49-F238E27FC236}">
                  <a16:creationId xmlns:a16="http://schemas.microsoft.com/office/drawing/2014/main" id="{00000000-0008-0000-0100-00005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Group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13</xdr:row>
          <xdr:rowOff>304800</xdr:rowOff>
        </xdr:from>
        <xdr:to>
          <xdr:col>8</xdr:col>
          <xdr:colOff>1933575</xdr:colOff>
          <xdr:row>15</xdr:row>
          <xdr:rowOff>47625</xdr:rowOff>
        </xdr:to>
        <xdr:sp macro="" textlink="">
          <xdr:nvSpPr>
            <xdr:cNvPr id="2084947" name="Button 83" hidden="1">
              <a:extLst>
                <a:ext uri="{63B3BB69-23CF-44E3-9099-C40C66FF867C}">
                  <a14:compatExt spid="_x0000_s2084947"/>
                </a:ext>
                <a:ext uri="{FF2B5EF4-FFF2-40B4-BE49-F238E27FC236}">
                  <a16:creationId xmlns:a16="http://schemas.microsoft.com/office/drawing/2014/main" id="{00000000-0008-0000-0100-00005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Group Total Detail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85725</xdr:rowOff>
        </xdr:from>
        <xdr:to>
          <xdr:col>3</xdr:col>
          <xdr:colOff>485775</xdr:colOff>
          <xdr:row>4</xdr:row>
          <xdr:rowOff>161925</xdr:rowOff>
        </xdr:to>
        <xdr:sp macro="" textlink="">
          <xdr:nvSpPr>
            <xdr:cNvPr id="4571137" name="Button 1" descr="ទំព័រដើម" hidden="1">
              <a:extLst>
                <a:ext uri="{63B3BB69-23CF-44E3-9099-C40C66FF867C}">
                  <a14:compatExt spid="_x0000_s4571137"/>
                </a:ext>
                <a:ext uri="{FF2B5EF4-FFF2-40B4-BE49-F238E27FC236}">
                  <a16:creationId xmlns:a16="http://schemas.microsoft.com/office/drawing/2014/main" id="{00000000-0008-0000-0200-000001C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628651</xdr:colOff>
      <xdr:row>0</xdr:row>
      <xdr:rowOff>171450</xdr:rowOff>
    </xdr:from>
    <xdr:to>
      <xdr:col>9</xdr:col>
      <xdr:colOff>666751</xdr:colOff>
      <xdr:row>6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00176" y="171450"/>
          <a:ext cx="4381500" cy="7905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Inventory Valuation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361950</xdr:rowOff>
        </xdr:from>
        <xdr:to>
          <xdr:col>3</xdr:col>
          <xdr:colOff>552450</xdr:colOff>
          <xdr:row>3</xdr:row>
          <xdr:rowOff>66675</xdr:rowOff>
        </xdr:to>
        <xdr:sp macro="" textlink="">
          <xdr:nvSpPr>
            <xdr:cNvPr id="2086913" name="Button 1" descr="ទំព័រដើម" hidden="1">
              <a:extLst>
                <a:ext uri="{63B3BB69-23CF-44E3-9099-C40C66FF867C}">
                  <a14:compatExt spid="_x0000_s2086913"/>
                </a:ext>
                <a:ext uri="{FF2B5EF4-FFF2-40B4-BE49-F238E27FC236}">
                  <a16:creationId xmlns:a16="http://schemas.microsoft.com/office/drawing/2014/main" id="{00000000-0008-0000-0300-000001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914400</xdr:colOff>
          <xdr:row>1</xdr:row>
          <xdr:rowOff>57150</xdr:rowOff>
        </xdr:from>
        <xdr:to>
          <xdr:col>12</xdr:col>
          <xdr:colOff>1009650</xdr:colOff>
          <xdr:row>3</xdr:row>
          <xdr:rowOff>0</xdr:rowOff>
        </xdr:to>
        <xdr:sp macro="" textlink="">
          <xdr:nvSpPr>
            <xdr:cNvPr id="2086914" name="Button 2" hidden="1">
              <a:extLst>
                <a:ext uri="{63B3BB69-23CF-44E3-9099-C40C66FF867C}">
                  <a14:compatExt spid="_x0000_s2086914"/>
                </a:ext>
                <a:ext uri="{FF2B5EF4-FFF2-40B4-BE49-F238E27FC236}">
                  <a16:creationId xmlns:a16="http://schemas.microsoft.com/office/drawing/2014/main" id="{00000000-0008-0000-0300-000002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9525</xdr:rowOff>
        </xdr:from>
        <xdr:to>
          <xdr:col>3</xdr:col>
          <xdr:colOff>904875</xdr:colOff>
          <xdr:row>4</xdr:row>
          <xdr:rowOff>28575</xdr:rowOff>
        </xdr:to>
        <xdr:sp macro="" textlink="">
          <xdr:nvSpPr>
            <xdr:cNvPr id="4454401" name="Button 1" descr="ទំព័រដើម" hidden="1">
              <a:extLst>
                <a:ext uri="{63B3BB69-23CF-44E3-9099-C40C66FF867C}">
                  <a14:compatExt spid="_x0000_s4454401"/>
                </a:ext>
                <a:ext uri="{FF2B5EF4-FFF2-40B4-BE49-F238E27FC236}">
                  <a16:creationId xmlns:a16="http://schemas.microsoft.com/office/drawing/2014/main" id="{00000000-0008-0000-0400-000001F8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</xdr:row>
      <xdr:rowOff>0</xdr:rowOff>
    </xdr:from>
    <xdr:to>
      <xdr:col>6</xdr:col>
      <xdr:colOff>9525</xdr:colOff>
      <xdr:row>4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85975" y="190500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Sales Invoice Receipt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28575</xdr:rowOff>
        </xdr:from>
        <xdr:to>
          <xdr:col>3</xdr:col>
          <xdr:colOff>295275</xdr:colOff>
          <xdr:row>3</xdr:row>
          <xdr:rowOff>104775</xdr:rowOff>
        </xdr:to>
        <xdr:sp macro="" textlink="">
          <xdr:nvSpPr>
            <xdr:cNvPr id="4231169" name="Button 1" descr="ទំព័រដើម" hidden="1">
              <a:extLst>
                <a:ext uri="{63B3BB69-23CF-44E3-9099-C40C66FF867C}">
                  <a14:compatExt spid="_x0000_s4231169"/>
                </a:ext>
                <a:ext uri="{FF2B5EF4-FFF2-40B4-BE49-F238E27FC236}">
                  <a16:creationId xmlns:a16="http://schemas.microsoft.com/office/drawing/2014/main" id="{00000000-0008-0000-0500-00000190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7</xdr:col>
      <xdr:colOff>542925</xdr:colOff>
      <xdr:row>4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95475" y="190500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Receive Payment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0</xdr:colOff>
          <xdr:row>3</xdr:row>
          <xdr:rowOff>123825</xdr:rowOff>
        </xdr:to>
        <xdr:sp macro="" textlink="">
          <xdr:nvSpPr>
            <xdr:cNvPr id="4232193" name="Button 1" descr="ទំព័រដើម" hidden="1">
              <a:extLst>
                <a:ext uri="{63B3BB69-23CF-44E3-9099-C40C66FF867C}">
                  <a14:compatExt spid="_x0000_s4232193"/>
                </a:ext>
                <a:ext uri="{FF2B5EF4-FFF2-40B4-BE49-F238E27FC236}">
                  <a16:creationId xmlns:a16="http://schemas.microsoft.com/office/drawing/2014/main" id="{00000000-0008-0000-0600-00000194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352424</xdr:colOff>
      <xdr:row>2</xdr:row>
      <xdr:rowOff>19050</xdr:rowOff>
    </xdr:from>
    <xdr:to>
      <xdr:col>6</xdr:col>
      <xdr:colOff>47624</xdr:colOff>
      <xdr:row>5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752599" y="19050"/>
          <a:ext cx="359092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Receive Payment Detail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57150</xdr:rowOff>
        </xdr:from>
        <xdr:to>
          <xdr:col>3</xdr:col>
          <xdr:colOff>200025</xdr:colOff>
          <xdr:row>4</xdr:row>
          <xdr:rowOff>133350</xdr:rowOff>
        </xdr:to>
        <xdr:sp macro="" textlink="">
          <xdr:nvSpPr>
            <xdr:cNvPr id="4233217" name="Button 1" descr="ទំព័រដើម" hidden="1">
              <a:extLst>
                <a:ext uri="{63B3BB69-23CF-44E3-9099-C40C66FF867C}">
                  <a14:compatExt spid="_x0000_s4233217"/>
                </a:ext>
                <a:ext uri="{FF2B5EF4-FFF2-40B4-BE49-F238E27FC236}">
                  <a16:creationId xmlns:a16="http://schemas.microsoft.com/office/drawing/2014/main" id="{00000000-0008-0000-0700-00000198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47625</xdr:rowOff>
        </xdr:from>
        <xdr:to>
          <xdr:col>3</xdr:col>
          <xdr:colOff>657225</xdr:colOff>
          <xdr:row>4</xdr:row>
          <xdr:rowOff>123825</xdr:rowOff>
        </xdr:to>
        <xdr:sp macro="" textlink="">
          <xdr:nvSpPr>
            <xdr:cNvPr id="4174849" name="Button 1" descr="ទំព័រដើម" hidden="1">
              <a:extLst>
                <a:ext uri="{63B3BB69-23CF-44E3-9099-C40C66FF867C}">
                  <a14:compatExt spid="_x0000_s4174849"/>
                </a:ext>
                <a:ext uri="{FF2B5EF4-FFF2-40B4-BE49-F238E27FC236}">
                  <a16:creationId xmlns:a16="http://schemas.microsoft.com/office/drawing/2014/main" id="{00000000-0008-0000-0800-000001B43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1038224</xdr:colOff>
      <xdr:row>2</xdr:row>
      <xdr:rowOff>0</xdr:rowOff>
    </xdr:from>
    <xdr:to>
      <xdr:col>6</xdr:col>
      <xdr:colOff>238124</xdr:colOff>
      <xdr:row>5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85949" y="381000"/>
          <a:ext cx="343852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General Ledger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3</xdr:row>
          <xdr:rowOff>9525</xdr:rowOff>
        </xdr:from>
        <xdr:to>
          <xdr:col>1</xdr:col>
          <xdr:colOff>1457325</xdr:colOff>
          <xdr:row>5</xdr:row>
          <xdr:rowOff>85725</xdr:rowOff>
        </xdr:to>
        <xdr:sp macro="" textlink="">
          <xdr:nvSpPr>
            <xdr:cNvPr id="4175873" name="Button 1" descr="ទំព័រដើម" hidden="1">
              <a:extLst>
                <a:ext uri="{63B3BB69-23CF-44E3-9099-C40C66FF867C}">
                  <a14:compatExt spid="_x0000_s4175873"/>
                </a:ext>
                <a:ext uri="{FF2B5EF4-FFF2-40B4-BE49-F238E27FC236}">
                  <a16:creationId xmlns:a16="http://schemas.microsoft.com/office/drawing/2014/main" id="{00000000-0008-0000-0900-000001B83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1028700</xdr:colOff>
      <xdr:row>2</xdr:row>
      <xdr:rowOff>180975</xdr:rowOff>
    </xdr:from>
    <xdr:to>
      <xdr:col>7</xdr:col>
      <xdr:colOff>1076325</xdr:colOff>
      <xdr:row>6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352800" y="180975"/>
          <a:ext cx="423862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General Ledger Detail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171450</xdr:rowOff>
        </xdr:from>
        <xdr:to>
          <xdr:col>3</xdr:col>
          <xdr:colOff>504825</xdr:colOff>
          <xdr:row>4</xdr:row>
          <xdr:rowOff>438150</xdr:rowOff>
        </xdr:to>
        <xdr:sp macro="" textlink="">
          <xdr:nvSpPr>
            <xdr:cNvPr id="2085890" name="Button 2" descr="ទំព័រដើម" hidden="1">
              <a:extLst>
                <a:ext uri="{63B3BB69-23CF-44E3-9099-C40C66FF867C}">
                  <a14:compatExt spid="_x0000_s2085890"/>
                </a:ext>
                <a:ext uri="{FF2B5EF4-FFF2-40B4-BE49-F238E27FC236}">
                  <a16:creationId xmlns:a16="http://schemas.microsoft.com/office/drawing/2014/main" id="{00000000-0008-0000-0A00-000002D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1409700</xdr:colOff>
      <xdr:row>2</xdr:row>
      <xdr:rowOff>66675</xdr:rowOff>
    </xdr:from>
    <xdr:to>
      <xdr:col>5</xdr:col>
      <xdr:colOff>1571625</xdr:colOff>
      <xdr:row>4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343150" y="66675"/>
          <a:ext cx="3476625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47625</xdr:rowOff>
        </xdr:from>
        <xdr:to>
          <xdr:col>3</xdr:col>
          <xdr:colOff>542925</xdr:colOff>
          <xdr:row>4</xdr:row>
          <xdr:rowOff>123825</xdr:rowOff>
        </xdr:to>
        <xdr:sp macro="" textlink="">
          <xdr:nvSpPr>
            <xdr:cNvPr id="4121602" name="Button 2" descr="ទំព័រដើម" hidden="1">
              <a:extLst>
                <a:ext uri="{63B3BB69-23CF-44E3-9099-C40C66FF867C}">
                  <a14:compatExt spid="_x0000_s4121602"/>
                </a:ext>
                <a:ext uri="{FF2B5EF4-FFF2-40B4-BE49-F238E27FC236}">
                  <a16:creationId xmlns:a16="http://schemas.microsoft.com/office/drawing/2014/main" id="{00000000-0008-0000-0B00-000002E4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1285876</xdr:colOff>
      <xdr:row>1</xdr:row>
      <xdr:rowOff>152400</xdr:rowOff>
    </xdr:from>
    <xdr:to>
      <xdr:col>7</xdr:col>
      <xdr:colOff>885826</xdr:colOff>
      <xdr:row>4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133976" y="342900"/>
          <a:ext cx="268605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85725</xdr:rowOff>
        </xdr:from>
        <xdr:to>
          <xdr:col>3</xdr:col>
          <xdr:colOff>638175</xdr:colOff>
          <xdr:row>3</xdr:row>
          <xdr:rowOff>161925</xdr:rowOff>
        </xdr:to>
        <xdr:sp macro="" textlink="">
          <xdr:nvSpPr>
            <xdr:cNvPr id="4122626" name="Button 2" descr="ទំព័រដើម" hidden="1">
              <a:extLst>
                <a:ext uri="{63B3BB69-23CF-44E3-9099-C40C66FF867C}">
                  <a14:compatExt spid="_x0000_s4122626"/>
                </a:ext>
                <a:ext uri="{FF2B5EF4-FFF2-40B4-BE49-F238E27FC236}">
                  <a16:creationId xmlns:a16="http://schemas.microsoft.com/office/drawing/2014/main" id="{00000000-0008-0000-0C00-000002E8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104775</xdr:rowOff>
        </xdr:from>
        <xdr:to>
          <xdr:col>3</xdr:col>
          <xdr:colOff>704850</xdr:colOff>
          <xdr:row>4</xdr:row>
          <xdr:rowOff>76200</xdr:rowOff>
        </xdr:to>
        <xdr:sp macro="" textlink="">
          <xdr:nvSpPr>
            <xdr:cNvPr id="4123650" name="Button 2" descr="ទំព័រដើម" hidden="1">
              <a:extLst>
                <a:ext uri="{63B3BB69-23CF-44E3-9099-C40C66FF867C}">
                  <a14:compatExt spid="_x0000_s4123650"/>
                </a:ext>
                <a:ext uri="{FF2B5EF4-FFF2-40B4-BE49-F238E27FC236}">
                  <a16:creationId xmlns:a16="http://schemas.microsoft.com/office/drawing/2014/main" id="{00000000-0008-0000-0D00-000002EC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180975</xdr:colOff>
          <xdr:row>5</xdr:row>
          <xdr:rowOff>133350</xdr:rowOff>
        </xdr:to>
        <xdr:sp macro="" textlink="">
          <xdr:nvSpPr>
            <xdr:cNvPr id="4124673" name="Button 1" descr="ទំព័រដើម" hidden="1">
              <a:extLst>
                <a:ext uri="{63B3BB69-23CF-44E3-9099-C40C66FF867C}">
                  <a14:compatExt spid="_x0000_s4124673"/>
                </a:ext>
                <a:ext uri="{FF2B5EF4-FFF2-40B4-BE49-F238E27FC236}">
                  <a16:creationId xmlns:a16="http://schemas.microsoft.com/office/drawing/2014/main" id="{00000000-0008-0000-0E00-000001F0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114300</xdr:rowOff>
        </xdr:from>
        <xdr:to>
          <xdr:col>3</xdr:col>
          <xdr:colOff>619125</xdr:colOff>
          <xdr:row>3</xdr:row>
          <xdr:rowOff>104775</xdr:rowOff>
        </xdr:to>
        <xdr:sp macro="" textlink="">
          <xdr:nvSpPr>
            <xdr:cNvPr id="4035586" name="Button 2" descr="ទំព័រដើម" hidden="1">
              <a:extLst>
                <a:ext uri="{63B3BB69-23CF-44E3-9099-C40C66FF867C}">
                  <a14:compatExt spid="_x0000_s4035586"/>
                </a:ext>
                <a:ext uri="{FF2B5EF4-FFF2-40B4-BE49-F238E27FC236}">
                  <a16:creationId xmlns:a16="http://schemas.microsoft.com/office/drawing/2014/main" id="{00000000-0008-0000-0F00-00000294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47625</xdr:rowOff>
        </xdr:from>
        <xdr:to>
          <xdr:col>3</xdr:col>
          <xdr:colOff>476250</xdr:colOff>
          <xdr:row>2</xdr:row>
          <xdr:rowOff>466725</xdr:rowOff>
        </xdr:to>
        <xdr:sp macro="" textlink="">
          <xdr:nvSpPr>
            <xdr:cNvPr id="3437570" name="Button 2" descr="ទំព័រដើម" hidden="1">
              <a:extLst>
                <a:ext uri="{63B3BB69-23CF-44E3-9099-C40C66FF867C}">
                  <a14:compatExt spid="_x0000_s3437570"/>
                </a:ext>
                <a:ext uri="{FF2B5EF4-FFF2-40B4-BE49-F238E27FC236}">
                  <a16:creationId xmlns:a16="http://schemas.microsoft.com/office/drawing/2014/main" id="{00000000-0008-0000-1000-000002743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3</xdr:row>
          <xdr:rowOff>38100</xdr:rowOff>
        </xdr:from>
        <xdr:to>
          <xdr:col>34</xdr:col>
          <xdr:colOff>371475</xdr:colOff>
          <xdr:row>4</xdr:row>
          <xdr:rowOff>104775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1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Set Icon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571500</xdr:colOff>
          <xdr:row>3</xdr:row>
          <xdr:rowOff>28575</xdr:rowOff>
        </xdr:from>
        <xdr:to>
          <xdr:col>36</xdr:col>
          <xdr:colOff>180975</xdr:colOff>
          <xdr:row>4</xdr:row>
          <xdr:rowOff>114300</xdr:rowOff>
        </xdr:to>
        <xdr:sp macro="" textlink="">
          <xdr:nvSpPr>
            <xdr:cNvPr id="2076678" name="Button 6" hidden="1">
              <a:extLst>
                <a:ext uri="{63B3BB69-23CF-44E3-9099-C40C66FF867C}">
                  <a14:compatExt spid="_x0000_s2076678"/>
                </a:ext>
                <a:ext uri="{FF2B5EF4-FFF2-40B4-BE49-F238E27FC236}">
                  <a16:creationId xmlns:a16="http://schemas.microsoft.com/office/drawing/2014/main" id="{00000000-0008-0000-1100-000006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+ Add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647700</xdr:colOff>
          <xdr:row>1</xdr:row>
          <xdr:rowOff>95250</xdr:rowOff>
        </xdr:from>
        <xdr:to>
          <xdr:col>32</xdr:col>
          <xdr:colOff>276225</xdr:colOff>
          <xdr:row>2</xdr:row>
          <xdr:rowOff>209550</xdr:rowOff>
        </xdr:to>
        <xdr:sp macro="" textlink="">
          <xdr:nvSpPr>
            <xdr:cNvPr id="2076680" name="Button 8" hidden="1">
              <a:extLst>
                <a:ext uri="{63B3BB69-23CF-44E3-9099-C40C66FF867C}">
                  <a14:compatExt spid="_x0000_s2076680"/>
                </a:ext>
                <a:ext uri="{FF2B5EF4-FFF2-40B4-BE49-F238E27FC236}">
                  <a16:creationId xmlns:a16="http://schemas.microsoft.com/office/drawing/2014/main" id="{00000000-0008-0000-1100-000008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1365250</xdr:colOff>
      <xdr:row>1</xdr:row>
      <xdr:rowOff>1321</xdr:rowOff>
    </xdr:from>
    <xdr:to>
      <xdr:col>22</xdr:col>
      <xdr:colOff>490802</xdr:colOff>
      <xdr:row>2</xdr:row>
      <xdr:rowOff>78052</xdr:rowOff>
    </xdr:to>
    <xdr:sp macro="" textlink="$AH$3">
      <xdr:nvSpPr>
        <xdr:cNvPr id="4" name="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5270500" y="720988"/>
          <a:ext cx="6533885" cy="3836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8F9A18E-ED01-4BE6-BE5C-CDA93C03404C}" type="TxLink">
            <a:rPr lang="km-KH" sz="1800" b="0" i="0" u="none" strike="noStrike">
              <a:solidFill>
                <a:srgbClr val="000000"/>
              </a:solidFill>
              <a:latin typeface="Content"/>
              <a:cs typeface="Content"/>
            </a:rPr>
            <a:pPr algn="ctr"/>
            <a:t>ចាប់ពីថ្ងៃទី ( 01/01/2024 - 31/03/2026 )</a:t>
          </a:fld>
          <a:endParaRPr lang="en-US" sz="3600" b="0">
            <a:solidFill>
              <a:srgbClr val="0070C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628650</xdr:colOff>
          <xdr:row>0</xdr:row>
          <xdr:rowOff>152400</xdr:rowOff>
        </xdr:from>
        <xdr:to>
          <xdr:col>32</xdr:col>
          <xdr:colOff>285750</xdr:colOff>
          <xdr:row>0</xdr:row>
          <xdr:rowOff>609600</xdr:rowOff>
        </xdr:to>
        <xdr:sp macro="" textlink="">
          <xdr:nvSpPr>
            <xdr:cNvPr id="2076681" name="Button 9" descr="ទំព័រដើម" hidden="1">
              <a:extLst>
                <a:ext uri="{63B3BB69-23CF-44E3-9099-C40C66FF867C}">
                  <a14:compatExt spid="_x0000_s2076681"/>
                </a:ext>
                <a:ext uri="{FF2B5EF4-FFF2-40B4-BE49-F238E27FC236}">
                  <a16:creationId xmlns:a16="http://schemas.microsoft.com/office/drawing/2014/main" id="{00000000-0008-0000-1100-000009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333375</xdr:colOff>
          <xdr:row>3</xdr:row>
          <xdr:rowOff>38100</xdr:rowOff>
        </xdr:from>
        <xdr:to>
          <xdr:col>37</xdr:col>
          <xdr:colOff>428625</xdr:colOff>
          <xdr:row>4</xdr:row>
          <xdr:rowOff>85725</xdr:rowOff>
        </xdr:to>
        <xdr:sp macro="" textlink="">
          <xdr:nvSpPr>
            <xdr:cNvPr id="2076682" name="Button 10" hidden="1">
              <a:extLst>
                <a:ext uri="{63B3BB69-23CF-44E3-9099-C40C66FF867C}">
                  <a14:compatExt spid="_x0000_s2076682"/>
                </a:ext>
                <a:ext uri="{FF2B5EF4-FFF2-40B4-BE49-F238E27FC236}">
                  <a16:creationId xmlns:a16="http://schemas.microsoft.com/office/drawing/2014/main" id="{00000000-0008-0000-1100-00000A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180975</xdr:rowOff>
        </xdr:from>
        <xdr:to>
          <xdr:col>3</xdr:col>
          <xdr:colOff>857250</xdr:colOff>
          <xdr:row>0</xdr:row>
          <xdr:rowOff>628650</xdr:rowOff>
        </xdr:to>
        <xdr:sp macro="" textlink="">
          <xdr:nvSpPr>
            <xdr:cNvPr id="2076683" name="Button 11" hidden="1">
              <a:extLst>
                <a:ext uri="{63B3BB69-23CF-44E3-9099-C40C66FF867C}">
                  <a14:compatExt spid="_x0000_s2076683"/>
                </a:ext>
                <a:ext uri="{FF2B5EF4-FFF2-40B4-BE49-F238E27FC236}">
                  <a16:creationId xmlns:a16="http://schemas.microsoft.com/office/drawing/2014/main" id="{00000000-0008-0000-1100-00000B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+ Add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0</xdr:rowOff>
        </xdr:from>
        <xdr:to>
          <xdr:col>3</xdr:col>
          <xdr:colOff>361950</xdr:colOff>
          <xdr:row>2</xdr:row>
          <xdr:rowOff>152400</xdr:rowOff>
        </xdr:to>
        <xdr:sp macro="" textlink="">
          <xdr:nvSpPr>
            <xdr:cNvPr id="2076684" name="Button 12" descr="ទំព័រដើម" hidden="1">
              <a:extLst>
                <a:ext uri="{63B3BB69-23CF-44E3-9099-C40C66FF867C}">
                  <a14:compatExt spid="_x0000_s2076684"/>
                </a:ext>
                <a:ext uri="{FF2B5EF4-FFF2-40B4-BE49-F238E27FC236}">
                  <a16:creationId xmlns:a16="http://schemas.microsoft.com/office/drawing/2014/main" id="{00000000-0008-0000-1100-00000C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1495425</xdr:colOff>
          <xdr:row>0</xdr:row>
          <xdr:rowOff>104775</xdr:rowOff>
        </xdr:from>
        <xdr:to>
          <xdr:col>27</xdr:col>
          <xdr:colOff>295275</xdr:colOff>
          <xdr:row>1</xdr:row>
          <xdr:rowOff>200025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2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+ Add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0</xdr:row>
          <xdr:rowOff>85725</xdr:rowOff>
        </xdr:from>
        <xdr:to>
          <xdr:col>25</xdr:col>
          <xdr:colOff>104775</xdr:colOff>
          <xdr:row>1</xdr:row>
          <xdr:rowOff>171450</xdr:rowOff>
        </xdr:to>
        <xdr:sp macro="" textlink="">
          <xdr:nvSpPr>
            <xdr:cNvPr id="2075652" name="Button 4" descr="ទំព័រដើម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2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772583</xdr:colOff>
      <xdr:row>2</xdr:row>
      <xdr:rowOff>166685</xdr:rowOff>
    </xdr:from>
    <xdr:to>
      <xdr:col>10</xdr:col>
      <xdr:colOff>654844</xdr:colOff>
      <xdr:row>3</xdr:row>
      <xdr:rowOff>357186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112000" y="166685"/>
          <a:ext cx="4877594" cy="4868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190500</xdr:rowOff>
        </xdr:from>
        <xdr:to>
          <xdr:col>3</xdr:col>
          <xdr:colOff>38100</xdr:colOff>
          <xdr:row>3</xdr:row>
          <xdr:rowOff>352425</xdr:rowOff>
        </xdr:to>
        <xdr:sp macro="" textlink="">
          <xdr:nvSpPr>
            <xdr:cNvPr id="4081666" name="Button 2" descr="ទំព័រដើម" hidden="1">
              <a:extLst>
                <a:ext uri="{63B3BB69-23CF-44E3-9099-C40C66FF867C}">
                  <a14:compatExt spid="_x0000_s4081666"/>
                </a:ext>
                <a:ext uri="{FF2B5EF4-FFF2-40B4-BE49-F238E27FC236}">
                  <a16:creationId xmlns:a16="http://schemas.microsoft.com/office/drawing/2014/main" id="{00000000-0008-0000-1500-00000248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200025</xdr:rowOff>
        </xdr:from>
        <xdr:to>
          <xdr:col>4</xdr:col>
          <xdr:colOff>200025</xdr:colOff>
          <xdr:row>3</xdr:row>
          <xdr:rowOff>371475</xdr:rowOff>
        </xdr:to>
        <xdr:sp macro="" textlink="">
          <xdr:nvSpPr>
            <xdr:cNvPr id="4081668" name="Button 4" hidden="1">
              <a:extLst>
                <a:ext uri="{63B3BB69-23CF-44E3-9099-C40C66FF867C}">
                  <a14:compatExt spid="_x0000_s4081668"/>
                </a:ext>
                <a:ext uri="{FF2B5EF4-FFF2-40B4-BE49-F238E27FC236}">
                  <a16:creationId xmlns:a16="http://schemas.microsoft.com/office/drawing/2014/main" id="{00000000-0008-0000-1500-00000448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sng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215636</xdr:colOff>
      <xdr:row>2</xdr:row>
      <xdr:rowOff>162714</xdr:rowOff>
    </xdr:from>
    <xdr:to>
      <xdr:col>9</xdr:col>
      <xdr:colOff>698500</xdr:colOff>
      <xdr:row>3</xdr:row>
      <xdr:rowOff>354538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560219" y="162714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133350</xdr:rowOff>
        </xdr:from>
        <xdr:to>
          <xdr:col>3</xdr:col>
          <xdr:colOff>219075</xdr:colOff>
          <xdr:row>3</xdr:row>
          <xdr:rowOff>295275</xdr:rowOff>
        </xdr:to>
        <xdr:sp macro="" textlink="">
          <xdr:nvSpPr>
            <xdr:cNvPr id="4082689" name="Button 1" descr="ទំព័រដើម" hidden="1">
              <a:extLst>
                <a:ext uri="{63B3BB69-23CF-44E3-9099-C40C66FF867C}">
                  <a14:compatExt spid="_x0000_s4082689"/>
                </a:ext>
                <a:ext uri="{FF2B5EF4-FFF2-40B4-BE49-F238E27FC236}">
                  <a16:creationId xmlns:a16="http://schemas.microsoft.com/office/drawing/2014/main" id="{00000000-0008-0000-1600-0000014C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2</xdr:row>
          <xdr:rowOff>133350</xdr:rowOff>
        </xdr:from>
        <xdr:to>
          <xdr:col>4</xdr:col>
          <xdr:colOff>2200275</xdr:colOff>
          <xdr:row>3</xdr:row>
          <xdr:rowOff>295275</xdr:rowOff>
        </xdr:to>
        <xdr:sp macro="" textlink="">
          <xdr:nvSpPr>
            <xdr:cNvPr id="4082692" name="Button 4" hidden="1">
              <a:extLst>
                <a:ext uri="{63B3BB69-23CF-44E3-9099-C40C66FF867C}">
                  <a14:compatExt spid="_x0000_s4082692"/>
                </a:ext>
                <a:ext uri="{FF2B5EF4-FFF2-40B4-BE49-F238E27FC236}">
                  <a16:creationId xmlns:a16="http://schemas.microsoft.com/office/drawing/2014/main" id="{00000000-0008-0000-1600-0000044C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133350</xdr:rowOff>
        </xdr:from>
        <xdr:to>
          <xdr:col>4</xdr:col>
          <xdr:colOff>238125</xdr:colOff>
          <xdr:row>3</xdr:row>
          <xdr:rowOff>304800</xdr:rowOff>
        </xdr:to>
        <xdr:sp macro="" textlink="">
          <xdr:nvSpPr>
            <xdr:cNvPr id="4082693" name="Button 5" hidden="1">
              <a:extLst>
                <a:ext uri="{63B3BB69-23CF-44E3-9099-C40C66FF867C}">
                  <a14:compatExt spid="_x0000_s4082693"/>
                </a:ext>
                <a:ext uri="{FF2B5EF4-FFF2-40B4-BE49-F238E27FC236}">
                  <a16:creationId xmlns:a16="http://schemas.microsoft.com/office/drawing/2014/main" id="{00000000-0008-0000-1600-0000054C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1746250</xdr:colOff>
      <xdr:row>2</xdr:row>
      <xdr:rowOff>-1</xdr:rowOff>
    </xdr:from>
    <xdr:to>
      <xdr:col>10</xdr:col>
      <xdr:colOff>1428750</xdr:colOff>
      <xdr:row>4</xdr:row>
      <xdr:rowOff>130968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758656" y="595312"/>
          <a:ext cx="5671344" cy="726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2</xdr:row>
          <xdr:rowOff>161925</xdr:rowOff>
        </xdr:from>
        <xdr:to>
          <xdr:col>3</xdr:col>
          <xdr:colOff>381000</xdr:colOff>
          <xdr:row>4</xdr:row>
          <xdr:rowOff>85725</xdr:rowOff>
        </xdr:to>
        <xdr:sp macro="" textlink="">
          <xdr:nvSpPr>
            <xdr:cNvPr id="2932739" name="Button 3" descr="ទំព័រដើម" hidden="1">
              <a:extLst>
                <a:ext uri="{63B3BB69-23CF-44E3-9099-C40C66FF867C}">
                  <a14:compatExt spid="_x0000_s2932739"/>
                </a:ext>
                <a:ext uri="{FF2B5EF4-FFF2-40B4-BE49-F238E27FC236}">
                  <a16:creationId xmlns:a16="http://schemas.microsoft.com/office/drawing/2014/main" id="{00000000-0008-0000-1700-000003C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133350</xdr:rowOff>
        </xdr:from>
        <xdr:to>
          <xdr:col>6</xdr:col>
          <xdr:colOff>0</xdr:colOff>
          <xdr:row>4</xdr:row>
          <xdr:rowOff>57150</xdr:rowOff>
        </xdr:to>
        <xdr:sp macro="" textlink="">
          <xdr:nvSpPr>
            <xdr:cNvPr id="2932740" name="Button 4" hidden="1">
              <a:extLst>
                <a:ext uri="{63B3BB69-23CF-44E3-9099-C40C66FF867C}">
                  <a14:compatExt spid="_x0000_s2932740"/>
                </a:ext>
                <a:ext uri="{FF2B5EF4-FFF2-40B4-BE49-F238E27FC236}">
                  <a16:creationId xmlns:a16="http://schemas.microsoft.com/office/drawing/2014/main" id="{00000000-0008-0000-1700-000004C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sng" strike="noStrike" baseline="0">
                  <a:solidFill>
                    <a:srgbClr val="3366FF"/>
                  </a:solidFill>
                  <a:latin typeface="Roboto 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2</xdr:row>
          <xdr:rowOff>161925</xdr:rowOff>
        </xdr:from>
        <xdr:to>
          <xdr:col>4</xdr:col>
          <xdr:colOff>1381125</xdr:colOff>
          <xdr:row>4</xdr:row>
          <xdr:rowOff>114300</xdr:rowOff>
        </xdr:to>
        <xdr:sp macro="" textlink="">
          <xdr:nvSpPr>
            <xdr:cNvPr id="2932741" name="Button 5" hidden="1">
              <a:extLst>
                <a:ext uri="{63B3BB69-23CF-44E3-9099-C40C66FF867C}">
                  <a14:compatExt spid="_x0000_s2932741"/>
                </a:ext>
                <a:ext uri="{FF2B5EF4-FFF2-40B4-BE49-F238E27FC236}">
                  <a16:creationId xmlns:a16="http://schemas.microsoft.com/office/drawing/2014/main" id="{00000000-0008-0000-1700-000005C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5</xdr:row>
          <xdr:rowOff>9525</xdr:rowOff>
        </xdr:from>
        <xdr:to>
          <xdr:col>22</xdr:col>
          <xdr:colOff>19050</xdr:colOff>
          <xdr:row>6</xdr:row>
          <xdr:rowOff>104775</xdr:rowOff>
        </xdr:to>
        <xdr:sp macro="" textlink="">
          <xdr:nvSpPr>
            <xdr:cNvPr id="2933762" name="Button 2" hidden="1">
              <a:extLst>
                <a:ext uri="{63B3BB69-23CF-44E3-9099-C40C66FF867C}">
                  <a14:compatExt spid="_x0000_s2933762"/>
                </a:ext>
                <a:ext uri="{FF2B5EF4-FFF2-40B4-BE49-F238E27FC236}">
                  <a16:creationId xmlns:a16="http://schemas.microsoft.com/office/drawing/2014/main" id="{00000000-0008-0000-1800-000002C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130968</xdr:colOff>
      <xdr:row>2</xdr:row>
      <xdr:rowOff>166685</xdr:rowOff>
    </xdr:from>
    <xdr:to>
      <xdr:col>7</xdr:col>
      <xdr:colOff>607218</xdr:colOff>
      <xdr:row>3</xdr:row>
      <xdr:rowOff>357186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631156" y="761998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190500</xdr:rowOff>
        </xdr:from>
        <xdr:to>
          <xdr:col>3</xdr:col>
          <xdr:colOff>38100</xdr:colOff>
          <xdr:row>3</xdr:row>
          <xdr:rowOff>352425</xdr:rowOff>
        </xdr:to>
        <xdr:sp macro="" textlink="">
          <xdr:nvSpPr>
            <xdr:cNvPr id="2933763" name="Button 3" descr="ទំព័រដើម" hidden="1">
              <a:extLst>
                <a:ext uri="{63B3BB69-23CF-44E3-9099-C40C66FF867C}">
                  <a14:compatExt spid="_x0000_s2933763"/>
                </a:ext>
                <a:ext uri="{FF2B5EF4-FFF2-40B4-BE49-F238E27FC236}">
                  <a16:creationId xmlns:a16="http://schemas.microsoft.com/office/drawing/2014/main" id="{00000000-0008-0000-1800-000003C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3</xdr:row>
          <xdr:rowOff>133350</xdr:rowOff>
        </xdr:from>
        <xdr:to>
          <xdr:col>21</xdr:col>
          <xdr:colOff>809625</xdr:colOff>
          <xdr:row>4</xdr:row>
          <xdr:rowOff>190500</xdr:rowOff>
        </xdr:to>
        <xdr:sp macro="" textlink="">
          <xdr:nvSpPr>
            <xdr:cNvPr id="2933764" name="Button 4" hidden="1">
              <a:extLst>
                <a:ext uri="{63B3BB69-23CF-44E3-9099-C40C66FF867C}">
                  <a14:compatExt spid="_x0000_s2933764"/>
                </a:ext>
                <a:ext uri="{FF2B5EF4-FFF2-40B4-BE49-F238E27FC236}">
                  <a16:creationId xmlns:a16="http://schemas.microsoft.com/office/drawing/2014/main" id="{00000000-0008-0000-1800-000004C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776552</xdr:colOff>
      <xdr:row>2</xdr:row>
      <xdr:rowOff>120381</xdr:rowOff>
    </xdr:from>
    <xdr:to>
      <xdr:col>9</xdr:col>
      <xdr:colOff>240771</xdr:colOff>
      <xdr:row>3</xdr:row>
      <xdr:rowOff>312205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026708" y="120381"/>
          <a:ext cx="3440907" cy="489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133350</xdr:rowOff>
        </xdr:from>
        <xdr:to>
          <xdr:col>3</xdr:col>
          <xdr:colOff>219075</xdr:colOff>
          <xdr:row>3</xdr:row>
          <xdr:rowOff>295275</xdr:rowOff>
        </xdr:to>
        <xdr:sp macro="" textlink="">
          <xdr:nvSpPr>
            <xdr:cNvPr id="3495939" name="Button 3" descr="ទំព័រដើម" hidden="1">
              <a:extLst>
                <a:ext uri="{63B3BB69-23CF-44E3-9099-C40C66FF867C}">
                  <a14:compatExt spid="_x0000_s3495939"/>
                </a:ext>
                <a:ext uri="{FF2B5EF4-FFF2-40B4-BE49-F238E27FC236}">
                  <a16:creationId xmlns:a16="http://schemas.microsoft.com/office/drawing/2014/main" id="{00000000-0008-0000-1900-000003583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3</xdr:row>
          <xdr:rowOff>114300</xdr:rowOff>
        </xdr:from>
        <xdr:to>
          <xdr:col>18</xdr:col>
          <xdr:colOff>1619250</xdr:colOff>
          <xdr:row>6</xdr:row>
          <xdr:rowOff>133350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1800-000003000000}"/>
                </a:ext>
              </a:extLst>
            </xdr:cNvPr>
            <xdr:cNvGrpSpPr/>
          </xdr:nvGrpSpPr>
          <xdr:grpSpPr>
            <a:xfrm>
              <a:off x="18413942" y="1003300"/>
              <a:ext cx="1419225" cy="865717"/>
              <a:chOff x="9153525" y="410633"/>
              <a:chExt cx="4478862" cy="865713"/>
            </a:xfrm>
          </xdr:grpSpPr>
          <xdr:sp macro="" textlink="">
            <xdr:nvSpPr>
              <xdr:cNvPr id="3495938" name="Button 2" hidden="1">
                <a:extLst>
                  <a:ext uri="{63B3BB69-23CF-44E3-9099-C40C66FF867C}">
                    <a14:compatExt spid="_x0000_s3495938"/>
                  </a:ext>
                  <a:ext uri="{FF2B5EF4-FFF2-40B4-BE49-F238E27FC236}">
                    <a16:creationId xmlns:a16="http://schemas.microsoft.com/office/drawing/2014/main" id="{00000000-0008-0000-1900-000002583500}"/>
                  </a:ext>
                </a:extLst>
              </xdr:cNvPr>
              <xdr:cNvSpPr/>
            </xdr:nvSpPr>
            <xdr:spPr bwMode="auto">
              <a:xfrm>
                <a:off x="9163046" y="853014"/>
                <a:ext cx="4469341" cy="4233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Add Stock</a:t>
                </a:r>
              </a:p>
            </xdr:txBody>
          </xdr:sp>
          <xdr:sp macro="" textlink="">
            <xdr:nvSpPr>
              <xdr:cNvPr id="3495940" name="Button 4" hidden="1">
                <a:extLst>
                  <a:ext uri="{63B3BB69-23CF-44E3-9099-C40C66FF867C}">
                    <a14:compatExt spid="_x0000_s3495940"/>
                  </a:ext>
                  <a:ext uri="{FF2B5EF4-FFF2-40B4-BE49-F238E27FC236}">
                    <a16:creationId xmlns:a16="http://schemas.microsoft.com/office/drawing/2014/main" id="{00000000-0008-0000-1900-000004583500}"/>
                  </a:ext>
                </a:extLst>
              </xdr:cNvPr>
              <xdr:cNvSpPr/>
            </xdr:nvSpPr>
            <xdr:spPr bwMode="auto">
              <a:xfrm>
                <a:off x="9153525" y="410633"/>
                <a:ext cx="4459817" cy="365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Add Invoice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5</xdr:row>
          <xdr:rowOff>9525</xdr:rowOff>
        </xdr:from>
        <xdr:to>
          <xdr:col>22</xdr:col>
          <xdr:colOff>19050</xdr:colOff>
          <xdr:row>6</xdr:row>
          <xdr:rowOff>104775</xdr:rowOff>
        </xdr:to>
        <xdr:sp macro="" textlink="">
          <xdr:nvSpPr>
            <xdr:cNvPr id="4530177" name="Button 1" hidden="1">
              <a:extLst>
                <a:ext uri="{63B3BB69-23CF-44E3-9099-C40C66FF867C}">
                  <a14:compatExt spid="_x0000_s4530177"/>
                </a:ext>
                <a:ext uri="{FF2B5EF4-FFF2-40B4-BE49-F238E27FC236}">
                  <a16:creationId xmlns:a16="http://schemas.microsoft.com/office/drawing/2014/main" id="{00000000-0008-0000-1A00-0000012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130968</xdr:colOff>
      <xdr:row>2</xdr:row>
      <xdr:rowOff>166685</xdr:rowOff>
    </xdr:from>
    <xdr:to>
      <xdr:col>7</xdr:col>
      <xdr:colOff>607218</xdr:colOff>
      <xdr:row>3</xdr:row>
      <xdr:rowOff>357186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635918" y="757235"/>
          <a:ext cx="5295900" cy="4857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190500</xdr:rowOff>
        </xdr:from>
        <xdr:to>
          <xdr:col>3</xdr:col>
          <xdr:colOff>38100</xdr:colOff>
          <xdr:row>3</xdr:row>
          <xdr:rowOff>352425</xdr:rowOff>
        </xdr:to>
        <xdr:sp macro="" textlink="">
          <xdr:nvSpPr>
            <xdr:cNvPr id="4530178" name="Button 2" descr="ទំព័រដើម" hidden="1">
              <a:extLst>
                <a:ext uri="{63B3BB69-23CF-44E3-9099-C40C66FF867C}">
                  <a14:compatExt spid="_x0000_s4530178"/>
                </a:ext>
                <a:ext uri="{FF2B5EF4-FFF2-40B4-BE49-F238E27FC236}">
                  <a16:creationId xmlns:a16="http://schemas.microsoft.com/office/drawing/2014/main" id="{00000000-0008-0000-1A00-0000022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3</xdr:row>
          <xdr:rowOff>133350</xdr:rowOff>
        </xdr:from>
        <xdr:to>
          <xdr:col>21</xdr:col>
          <xdr:colOff>809625</xdr:colOff>
          <xdr:row>4</xdr:row>
          <xdr:rowOff>190500</xdr:rowOff>
        </xdr:to>
        <xdr:sp macro="" textlink="">
          <xdr:nvSpPr>
            <xdr:cNvPr id="4530179" name="Button 3" hidden="1">
              <a:extLst>
                <a:ext uri="{63B3BB69-23CF-44E3-9099-C40C66FF867C}">
                  <a14:compatExt spid="_x0000_s4530179"/>
                </a:ext>
                <a:ext uri="{FF2B5EF4-FFF2-40B4-BE49-F238E27FC236}">
                  <a16:creationId xmlns:a16="http://schemas.microsoft.com/office/drawing/2014/main" id="{00000000-0008-0000-1A00-00000320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776552</xdr:colOff>
      <xdr:row>2</xdr:row>
      <xdr:rowOff>120381</xdr:rowOff>
    </xdr:from>
    <xdr:to>
      <xdr:col>9</xdr:col>
      <xdr:colOff>240771</xdr:colOff>
      <xdr:row>3</xdr:row>
      <xdr:rowOff>312205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071952" y="710931"/>
          <a:ext cx="7093744" cy="4870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</xdr:row>
          <xdr:rowOff>133350</xdr:rowOff>
        </xdr:from>
        <xdr:to>
          <xdr:col>3</xdr:col>
          <xdr:colOff>219075</xdr:colOff>
          <xdr:row>3</xdr:row>
          <xdr:rowOff>295275</xdr:rowOff>
        </xdr:to>
        <xdr:sp macro="" textlink="">
          <xdr:nvSpPr>
            <xdr:cNvPr id="4457473" name="Button 1" descr="ទំព័រដើម" hidden="1">
              <a:extLst>
                <a:ext uri="{63B3BB69-23CF-44E3-9099-C40C66FF867C}">
                  <a14:compatExt spid="_x0000_s4457473"/>
                </a:ext>
                <a:ext uri="{FF2B5EF4-FFF2-40B4-BE49-F238E27FC236}">
                  <a16:creationId xmlns:a16="http://schemas.microsoft.com/office/drawing/2014/main" id="{00000000-0008-0000-1B00-00000104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3</xdr:row>
          <xdr:rowOff>114300</xdr:rowOff>
        </xdr:from>
        <xdr:to>
          <xdr:col>18</xdr:col>
          <xdr:colOff>1619250</xdr:colOff>
          <xdr:row>6</xdr:row>
          <xdr:rowOff>133350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1A00-000003000000}"/>
                </a:ext>
              </a:extLst>
            </xdr:cNvPr>
            <xdr:cNvGrpSpPr/>
          </xdr:nvGrpSpPr>
          <xdr:grpSpPr>
            <a:xfrm>
              <a:off x="18223442" y="1003300"/>
              <a:ext cx="1419225" cy="865717"/>
              <a:chOff x="9153525" y="410633"/>
              <a:chExt cx="4478862" cy="865713"/>
            </a:xfrm>
          </xdr:grpSpPr>
          <xdr:sp macro="" textlink="">
            <xdr:nvSpPr>
              <xdr:cNvPr id="4457474" name="Button 2" hidden="1">
                <a:extLst>
                  <a:ext uri="{63B3BB69-23CF-44E3-9099-C40C66FF867C}">
                    <a14:compatExt spid="_x0000_s4457474"/>
                  </a:ext>
                  <a:ext uri="{FF2B5EF4-FFF2-40B4-BE49-F238E27FC236}">
                    <a16:creationId xmlns:a16="http://schemas.microsoft.com/office/drawing/2014/main" id="{00000000-0008-0000-1B00-000002044400}"/>
                  </a:ext>
                </a:extLst>
              </xdr:cNvPr>
              <xdr:cNvSpPr/>
            </xdr:nvSpPr>
            <xdr:spPr bwMode="auto">
              <a:xfrm>
                <a:off x="9163046" y="853014"/>
                <a:ext cx="4469341" cy="4233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Add Stock</a:t>
                </a:r>
              </a:p>
            </xdr:txBody>
          </xdr:sp>
          <xdr:sp macro="" textlink="">
            <xdr:nvSpPr>
              <xdr:cNvPr id="4457475" name="Button 3" hidden="1">
                <a:extLst>
                  <a:ext uri="{63B3BB69-23CF-44E3-9099-C40C66FF867C}">
                    <a14:compatExt spid="_x0000_s4457475"/>
                  </a:ext>
                  <a:ext uri="{FF2B5EF4-FFF2-40B4-BE49-F238E27FC236}">
                    <a16:creationId xmlns:a16="http://schemas.microsoft.com/office/drawing/2014/main" id="{00000000-0008-0000-1B00-000003044400}"/>
                  </a:ext>
                </a:extLst>
              </xdr:cNvPr>
              <xdr:cNvSpPr/>
            </xdr:nvSpPr>
            <xdr:spPr bwMode="auto">
              <a:xfrm>
                <a:off x="9153525" y="410633"/>
                <a:ext cx="4459817" cy="365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Add Invoice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161925</xdr:rowOff>
        </xdr:from>
        <xdr:to>
          <xdr:col>3</xdr:col>
          <xdr:colOff>285750</xdr:colOff>
          <xdr:row>2</xdr:row>
          <xdr:rowOff>0</xdr:rowOff>
        </xdr:to>
        <xdr:sp macro="" textlink="">
          <xdr:nvSpPr>
            <xdr:cNvPr id="2077699" name="Button 3" hidden="1">
              <a:extLst>
                <a:ext uri="{63B3BB69-23CF-44E3-9099-C40C66FF867C}">
                  <a14:compatExt spid="_x0000_s2077699"/>
                </a:ext>
                <a:ext uri="{FF2B5EF4-FFF2-40B4-BE49-F238E27FC236}">
                  <a16:creationId xmlns:a16="http://schemas.microsoft.com/office/drawing/2014/main" id="{00000000-0008-0000-1C00-000003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19050</xdr:rowOff>
        </xdr:from>
        <xdr:to>
          <xdr:col>9</xdr:col>
          <xdr:colOff>1304925</xdr:colOff>
          <xdr:row>1</xdr:row>
          <xdr:rowOff>428625</xdr:rowOff>
        </xdr:to>
        <xdr:sp macro="" textlink="">
          <xdr:nvSpPr>
            <xdr:cNvPr id="2077700" name="Button 4" hidden="1">
              <a:extLst>
                <a:ext uri="{63B3BB69-23CF-44E3-9099-C40C66FF867C}">
                  <a14:compatExt spid="_x0000_s2077700"/>
                </a:ext>
                <a:ext uri="{FF2B5EF4-FFF2-40B4-BE49-F238E27FC236}">
                  <a16:creationId xmlns:a16="http://schemas.microsoft.com/office/drawing/2014/main" id="{00000000-0008-0000-1C00-000004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Stock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1</xdr:row>
          <xdr:rowOff>28575</xdr:rowOff>
        </xdr:from>
        <xdr:to>
          <xdr:col>8</xdr:col>
          <xdr:colOff>990600</xdr:colOff>
          <xdr:row>1</xdr:row>
          <xdr:rowOff>419100</xdr:rowOff>
        </xdr:to>
        <xdr:sp macro="" textlink="">
          <xdr:nvSpPr>
            <xdr:cNvPr id="2077701" name="Button 5" hidden="1">
              <a:extLst>
                <a:ext uri="{63B3BB69-23CF-44E3-9099-C40C66FF867C}">
                  <a14:compatExt spid="_x0000_s2077701"/>
                </a:ext>
                <a:ext uri="{FF2B5EF4-FFF2-40B4-BE49-F238E27FC236}">
                  <a16:creationId xmlns:a16="http://schemas.microsoft.com/office/drawing/2014/main" id="{00000000-0008-0000-1C00-000005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Stock Detail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38100</xdr:rowOff>
        </xdr:from>
        <xdr:to>
          <xdr:col>11</xdr:col>
          <xdr:colOff>581025</xdr:colOff>
          <xdr:row>1</xdr:row>
          <xdr:rowOff>447675</xdr:rowOff>
        </xdr:to>
        <xdr:sp macro="" textlink="">
          <xdr:nvSpPr>
            <xdr:cNvPr id="2077702" name="Button 6" hidden="1">
              <a:extLst>
                <a:ext uri="{63B3BB69-23CF-44E3-9099-C40C66FF867C}">
                  <a14:compatExt spid="_x0000_s2077702"/>
                </a:ext>
                <a:ext uri="{FF2B5EF4-FFF2-40B4-BE49-F238E27FC236}">
                  <a16:creationId xmlns:a16="http://schemas.microsoft.com/office/drawing/2014/main" id="{00000000-0008-0000-1C00-000006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171450</xdr:rowOff>
        </xdr:from>
        <xdr:to>
          <xdr:col>2</xdr:col>
          <xdr:colOff>581025</xdr:colOff>
          <xdr:row>1</xdr:row>
          <xdr:rowOff>590550</xdr:rowOff>
        </xdr:to>
        <xdr:sp macro="" textlink="">
          <xdr:nvSpPr>
            <xdr:cNvPr id="2077703" name="Button 7" descr="ទំព័រដើម" hidden="1">
              <a:extLst>
                <a:ext uri="{63B3BB69-23CF-44E3-9099-C40C66FF867C}">
                  <a14:compatExt spid="_x0000_s2077703"/>
                </a:ext>
                <a:ext uri="{FF2B5EF4-FFF2-40B4-BE49-F238E27FC236}">
                  <a16:creationId xmlns:a16="http://schemas.microsoft.com/office/drawing/2014/main" id="{00000000-0008-0000-1C00-000007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43207</xdr:colOff>
      <xdr:row>117</xdr:row>
      <xdr:rowOff>192201</xdr:rowOff>
    </xdr:from>
    <xdr:to>
      <xdr:col>47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466725</xdr:rowOff>
        </xdr:from>
        <xdr:to>
          <xdr:col>2</xdr:col>
          <xdr:colOff>1019175</xdr:colOff>
          <xdr:row>4</xdr:row>
          <xdr:rowOff>0</xdr:rowOff>
        </xdr:to>
        <xdr:sp macro="" textlink="">
          <xdr:nvSpPr>
            <xdr:cNvPr id="4291585" name="Button 1" descr="ទំព័រដើម" hidden="1">
              <a:extLst>
                <a:ext uri="{63B3BB69-23CF-44E3-9099-C40C66FF867C}">
                  <a14:compatExt spid="_x0000_s4291585"/>
                </a:ext>
                <a:ext uri="{FF2B5EF4-FFF2-40B4-BE49-F238E27FC236}">
                  <a16:creationId xmlns:a16="http://schemas.microsoft.com/office/drawing/2014/main" id="{00000000-0008-0000-1D00-0000017C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‹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Content"/>
                  <a:ea typeface="Roboto Medium"/>
                  <a:cs typeface="Content"/>
                </a:rPr>
                <a:t> 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Content"/>
                <a:cs typeface="Content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190500</xdr:colOff>
      <xdr:row>110</xdr:row>
      <xdr:rowOff>10584</xdr:rowOff>
    </xdr:from>
    <xdr:to>
      <xdr:col>56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41</xdr:col>
      <xdr:colOff>321470</xdr:colOff>
      <xdr:row>205</xdr:row>
      <xdr:rowOff>107157</xdr:rowOff>
    </xdr:from>
    <xdr:to>
      <xdr:col>50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40</xdr:col>
      <xdr:colOff>35847</xdr:colOff>
      <xdr:row>116</xdr:row>
      <xdr:rowOff>285749</xdr:rowOff>
    </xdr:from>
    <xdr:to>
      <xdr:col>43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41</xdr:col>
      <xdr:colOff>71438</xdr:colOff>
      <xdr:row>210</xdr:row>
      <xdr:rowOff>0</xdr:rowOff>
    </xdr:from>
    <xdr:to>
      <xdr:col>45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pSpPr/>
      </xdr:nvGrpSpPr>
      <xdr:grpSpPr>
        <a:xfrm>
          <a:off x="48363188" y="47101125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48</xdr:col>
      <xdr:colOff>317500</xdr:colOff>
      <xdr:row>210</xdr:row>
      <xdr:rowOff>0</xdr:rowOff>
    </xdr:from>
    <xdr:to>
      <xdr:col>54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pSpPr/>
      </xdr:nvGrpSpPr>
      <xdr:grpSpPr>
        <a:xfrm>
          <a:off x="54121844" y="47101125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58</xdr:col>
      <xdr:colOff>43207</xdr:colOff>
      <xdr:row>117</xdr:row>
      <xdr:rowOff>52917</xdr:rowOff>
    </xdr:from>
    <xdr:to>
      <xdr:col>65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246253</xdr:colOff>
      <xdr:row>112</xdr:row>
      <xdr:rowOff>83844</xdr:rowOff>
    </xdr:from>
    <xdr:to>
      <xdr:col>74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59</xdr:col>
      <xdr:colOff>321470</xdr:colOff>
      <xdr:row>204</xdr:row>
      <xdr:rowOff>338667</xdr:rowOff>
    </xdr:from>
    <xdr:to>
      <xdr:col>68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58</xdr:col>
      <xdr:colOff>46430</xdr:colOff>
      <xdr:row>116</xdr:row>
      <xdr:rowOff>211666</xdr:rowOff>
    </xdr:from>
    <xdr:to>
      <xdr:col>61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59</xdr:col>
      <xdr:colOff>71438</xdr:colOff>
      <xdr:row>210</xdr:row>
      <xdr:rowOff>0</xdr:rowOff>
    </xdr:from>
    <xdr:to>
      <xdr:col>63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pSpPr/>
      </xdr:nvGrpSpPr>
      <xdr:grpSpPr>
        <a:xfrm>
          <a:off x="58566844" y="47101125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66</xdr:col>
      <xdr:colOff>317500</xdr:colOff>
      <xdr:row>210</xdr:row>
      <xdr:rowOff>0</xdr:rowOff>
    </xdr:from>
    <xdr:to>
      <xdr:col>72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GrpSpPr/>
      </xdr:nvGrpSpPr>
      <xdr:grpSpPr>
        <a:xfrm>
          <a:off x="62861031" y="47101125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1078564</xdr:colOff>
      <xdr:row>1</xdr:row>
      <xdr:rowOff>28575</xdr:rowOff>
    </xdr:from>
    <xdr:to>
      <xdr:col>4</xdr:col>
      <xdr:colOff>1673347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GrpSpPr/>
      </xdr:nvGrpSpPr>
      <xdr:grpSpPr>
        <a:xfrm>
          <a:off x="1447658" y="135731"/>
          <a:ext cx="3309408" cy="943119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1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48</xdr:col>
      <xdr:colOff>1060</xdr:colOff>
      <xdr:row>114</xdr:row>
      <xdr:rowOff>148167</xdr:rowOff>
    </xdr:from>
    <xdr:to>
      <xdr:col>52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GrpSpPr/>
      </xdr:nvGrpSpPr>
      <xdr:grpSpPr>
        <a:xfrm>
          <a:off x="53805404" y="38117198"/>
          <a:ext cx="2347117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65</xdr:col>
      <xdr:colOff>384973</xdr:colOff>
      <xdr:row>114</xdr:row>
      <xdr:rowOff>288399</xdr:rowOff>
    </xdr:from>
    <xdr:to>
      <xdr:col>70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GrpSpPr/>
      </xdr:nvGrpSpPr>
      <xdr:grpSpPr>
        <a:xfrm>
          <a:off x="62476067" y="38257430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72</xdr:col>
      <xdr:colOff>103343</xdr:colOff>
      <xdr:row>115</xdr:row>
      <xdr:rowOff>105721</xdr:rowOff>
    </xdr:from>
    <xdr:to>
      <xdr:col>72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C00-00002F000000}"/>
            </a:ext>
          </a:extLst>
        </xdr:cNvPr>
        <xdr:cNvGrpSpPr>
          <a:grpSpLocks noChangeAspect="1"/>
        </xdr:cNvGrpSpPr>
      </xdr:nvGrpSpPr>
      <xdr:grpSpPr>
        <a:xfrm>
          <a:off x="65230531" y="3838431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1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1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1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1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1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1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1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1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1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1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1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1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1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1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1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1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1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1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1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1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1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1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1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1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1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1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1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1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1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1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1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1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1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1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1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1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1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1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1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1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1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1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1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1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1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1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1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1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1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1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1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1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1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1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1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1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1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1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1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1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1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1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1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1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1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1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1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1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1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1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1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1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1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1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1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1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1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1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1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1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1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1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1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1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1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1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1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1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1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1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1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1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1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1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1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1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1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1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1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1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1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1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1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1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1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1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1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1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1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1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1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1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1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1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1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1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1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1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1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1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1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1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1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1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1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1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1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1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1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1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1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1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1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1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1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1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1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1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1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1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1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1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1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1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1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1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1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1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1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1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1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1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1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1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1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1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1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1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1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1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1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1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1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1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1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1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1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1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1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1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1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1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1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1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1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1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1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1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1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1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1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1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1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1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1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1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1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1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1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1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1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1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1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1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1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1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1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1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1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1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1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1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1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1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1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1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1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1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1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1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1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1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1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1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1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1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1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1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1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1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1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1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1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1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1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1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1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1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1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1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1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1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1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1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1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1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1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1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1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1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1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1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1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1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1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1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1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1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1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1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1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1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1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1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1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1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1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1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1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1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1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1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1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1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1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1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1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1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1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1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1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1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1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1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1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1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1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1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1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1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1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1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1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1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1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1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1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1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1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1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1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1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1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1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1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1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1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1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1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1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1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1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1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1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1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1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1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1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1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1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1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1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1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1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1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1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1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1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1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1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1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1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1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1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1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1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1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1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1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1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1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1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1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1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1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1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1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1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1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1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1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1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1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1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1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1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1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1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1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1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1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1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1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1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1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1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1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1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1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1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1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1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1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1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1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1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1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1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1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1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1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1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1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1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1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1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1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1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1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1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1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1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1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1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1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1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1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1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1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1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1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1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1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1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1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1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54</xdr:col>
      <xdr:colOff>100962</xdr:colOff>
      <xdr:row>114</xdr:row>
      <xdr:rowOff>267646</xdr:rowOff>
    </xdr:from>
    <xdr:to>
      <xdr:col>54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C00-0000937D4100}"/>
            </a:ext>
          </a:extLst>
        </xdr:cNvPr>
        <xdr:cNvGrpSpPr>
          <a:grpSpLocks noChangeAspect="1"/>
        </xdr:cNvGrpSpPr>
      </xdr:nvGrpSpPr>
      <xdr:grpSpPr>
        <a:xfrm>
          <a:off x="56477056" y="38236677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1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1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1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1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1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1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1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1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1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1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1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1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1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1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1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1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1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1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1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1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1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1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1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1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1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1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1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1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1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1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1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1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1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1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1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1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1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1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1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1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1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1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1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1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1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1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1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1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1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1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1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1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1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1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1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1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1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1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1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1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1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1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1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1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1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1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1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1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1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1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1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1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1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1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1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1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1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1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1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1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1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1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1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1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1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1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1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1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1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1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1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1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1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1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1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1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1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1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1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1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1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1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1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1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1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1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1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1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1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1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1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1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1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1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1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1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1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1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1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1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1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1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1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1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1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1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1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1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1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1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1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1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1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1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1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1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1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1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1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1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1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1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1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1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1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1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1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1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1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1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1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1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1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1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1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1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1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1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1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1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1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1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1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1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1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1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1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1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1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1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1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1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1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1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1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1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1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1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1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1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1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1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1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1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1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1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1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1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1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1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1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1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1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1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1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1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1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1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1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1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1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1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1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1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1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1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1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1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1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1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1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1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1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1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1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1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1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1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1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1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1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1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1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1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1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1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1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1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1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1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1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1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1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1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1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1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1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1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1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1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1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1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1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1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1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1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1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1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1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1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1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1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1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1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1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1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1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1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1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1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1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1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1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1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1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1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1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1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1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1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1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1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1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1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1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1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1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1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1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1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1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1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1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1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1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1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1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1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1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1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1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1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1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1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1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1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1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1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1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1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1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1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1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1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1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1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1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1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1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1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1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1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1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1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1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1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1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1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1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1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1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1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1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1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1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1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1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1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1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1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1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1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1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1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1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1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1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1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1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1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1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1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1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1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1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1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1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1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1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1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1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1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1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1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1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1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1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1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1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1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1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1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1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1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1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1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1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1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1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1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1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1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1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1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1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1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1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1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1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1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1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1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1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1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1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1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1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1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1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1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1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1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1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1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1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1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1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1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1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1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1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1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1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1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1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1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1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1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1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1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1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1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19</xdr:row>
          <xdr:rowOff>38100</xdr:rowOff>
        </xdr:from>
        <xdr:to>
          <xdr:col>4</xdr:col>
          <xdr:colOff>2000250</xdr:colOff>
          <xdr:row>20</xdr:row>
          <xdr:rowOff>38100</xdr:rowOff>
        </xdr:to>
        <xdr:sp macro="" textlink="">
          <xdr:nvSpPr>
            <xdr:cNvPr id="22" name="Button 11" hidden="1">
              <a:extLst>
                <a:ext uri="{63B3BB69-23CF-44E3-9099-C40C66FF867C}">
                  <a14:compatExt spid="_x0000_s4291595"/>
                </a:ext>
                <a:ext uri="{FF2B5EF4-FFF2-40B4-BE49-F238E27FC236}">
                  <a16:creationId xmlns:a16="http://schemas.microsoft.com/office/drawing/2014/main" id="{00000000-0008-0000-1D00-00001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359303</xdr:colOff>
          <xdr:row>2</xdr:row>
          <xdr:rowOff>47624</xdr:rowOff>
        </xdr:from>
        <xdr:to>
          <xdr:col>11</xdr:col>
          <xdr:colOff>1569242</xdr:colOff>
          <xdr:row>4</xdr:row>
          <xdr:rowOff>1320</xdr:rowOff>
        </xdr:to>
        <xdr:grpSp>
          <xdr:nvGrpSpPr>
            <xdr:cNvPr id="25" name="Group 24">
              <a:extLst>
                <a:ext uri="{FF2B5EF4-FFF2-40B4-BE49-F238E27FC236}">
                  <a16:creationId xmlns:a16="http://schemas.microsoft.com/office/drawing/2014/main" id="{00000000-0008-0000-1C00-000019000000}"/>
                </a:ext>
              </a:extLst>
            </xdr:cNvPr>
            <xdr:cNvGrpSpPr/>
          </xdr:nvGrpSpPr>
          <xdr:grpSpPr>
            <a:xfrm>
              <a:off x="6324334" y="619124"/>
              <a:ext cx="3579283" cy="418040"/>
              <a:chOff x="16904939" y="107949"/>
              <a:chExt cx="3880908" cy="340782"/>
            </a:xfrm>
          </xdr:grpSpPr>
          <xdr:sp macro="" textlink="">
            <xdr:nvSpPr>
              <xdr:cNvPr id="23" name="Button 21" hidden="1">
                <a:extLst>
                  <a:ext uri="{63B3BB69-23CF-44E3-9099-C40C66FF867C}">
                    <a14:compatExt spid="_x0000_s4291605"/>
                  </a:ext>
                  <a:ext uri="{FF2B5EF4-FFF2-40B4-BE49-F238E27FC236}">
                    <a16:creationId xmlns:a16="http://schemas.microsoft.com/office/drawing/2014/main" id="{00000000-0008-0000-1D00-000017000000}"/>
                  </a:ext>
                </a:extLst>
              </xdr:cNvPr>
              <xdr:cNvSpPr/>
            </xdr:nvSpPr>
            <xdr:spPr bwMode="auto">
              <a:xfrm>
                <a:off x="16904939" y="119592"/>
                <a:ext cx="1880659" cy="32913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Stock Data</a:t>
                </a:r>
              </a:p>
            </xdr:txBody>
          </xdr:sp>
          <xdr:sp macro="" textlink="">
            <xdr:nvSpPr>
              <xdr:cNvPr id="24" name="Button 22" hidden="1">
                <a:extLst>
                  <a:ext uri="{63B3BB69-23CF-44E3-9099-C40C66FF867C}">
                    <a14:compatExt spid="_x0000_s4291606"/>
                  </a:ext>
                  <a:ext uri="{FF2B5EF4-FFF2-40B4-BE49-F238E27FC236}">
                    <a16:creationId xmlns:a16="http://schemas.microsoft.com/office/drawing/2014/main" id="{00000000-0008-0000-1D00-000018000000}"/>
                  </a:ext>
                </a:extLst>
              </xdr:cNvPr>
              <xdr:cNvSpPr/>
            </xdr:nvSpPr>
            <xdr:spPr bwMode="auto">
              <a:xfrm>
                <a:off x="18905188" y="107949"/>
                <a:ext cx="1880659" cy="3323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0" i="0" u="sng" strike="noStrike" baseline="0">
                    <a:solidFill>
                      <a:srgbClr val="3366FF"/>
                    </a:solidFill>
                    <a:latin typeface="Roboto"/>
                    <a:ea typeface="Roboto"/>
                    <a:cs typeface="Roboto"/>
                  </a:rPr>
                  <a:t>Stock Detail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1019175</xdr:colOff>
          <xdr:row>2</xdr:row>
          <xdr:rowOff>47625</xdr:rowOff>
        </xdr:from>
        <xdr:to>
          <xdr:col>13</xdr:col>
          <xdr:colOff>895350</xdr:colOff>
          <xdr:row>4</xdr:row>
          <xdr:rowOff>9525</xdr:rowOff>
        </xdr:to>
        <xdr:sp macro="" textlink="">
          <xdr:nvSpPr>
            <xdr:cNvPr id="32" name="Button 23" hidden="1">
              <a:extLst>
                <a:ext uri="{63B3BB69-23CF-44E3-9099-C40C66FF867C}">
                  <a14:compatExt spid="_x0000_s4291607"/>
                </a:ext>
                <a:ext uri="{FF2B5EF4-FFF2-40B4-BE49-F238E27FC236}">
                  <a16:creationId xmlns:a16="http://schemas.microsoft.com/office/drawing/2014/main" id="{00000000-0008-0000-1D00-000020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1066800</xdr:colOff>
          <xdr:row>2</xdr:row>
          <xdr:rowOff>19050</xdr:rowOff>
        </xdr:from>
        <xdr:to>
          <xdr:col>15</xdr:col>
          <xdr:colOff>314325</xdr:colOff>
          <xdr:row>3</xdr:row>
          <xdr:rowOff>352425</xdr:rowOff>
        </xdr:to>
        <xdr:sp macro="" textlink="">
          <xdr:nvSpPr>
            <xdr:cNvPr id="33" name="Button 24" hidden="1">
              <a:extLst>
                <a:ext uri="{63B3BB69-23CF-44E3-9099-C40C66FF867C}">
                  <a14:compatExt spid="_x0000_s4291608"/>
                </a:ext>
                <a:ext uri="{FF2B5EF4-FFF2-40B4-BE49-F238E27FC236}">
                  <a16:creationId xmlns:a16="http://schemas.microsoft.com/office/drawing/2014/main" id="{00000000-0008-0000-1D00-000021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1666875</xdr:colOff>
          <xdr:row>2</xdr:row>
          <xdr:rowOff>19050</xdr:rowOff>
        </xdr:from>
        <xdr:to>
          <xdr:col>12</xdr:col>
          <xdr:colOff>942975</xdr:colOff>
          <xdr:row>3</xdr:row>
          <xdr:rowOff>352425</xdr:rowOff>
        </xdr:to>
        <xdr:sp macro="" textlink="">
          <xdr:nvSpPr>
            <xdr:cNvPr id="34" name="Button 25" hidden="1">
              <a:extLst>
                <a:ext uri="{63B3BB69-23CF-44E3-9099-C40C66FF867C}">
                  <a14:compatExt spid="_x0000_s4291609"/>
                </a:ext>
                <a:ext uri="{FF2B5EF4-FFF2-40B4-BE49-F238E27FC236}">
                  <a16:creationId xmlns:a16="http://schemas.microsoft.com/office/drawing/2014/main" id="{00000000-0008-0000-1D00-00002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Inventory Total Detail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678654</xdr:colOff>
      <xdr:row>1</xdr:row>
      <xdr:rowOff>440531</xdr:rowOff>
    </xdr:from>
    <xdr:to>
      <xdr:col>19</xdr:col>
      <xdr:colOff>1309687</xdr:colOff>
      <xdr:row>3</xdr:row>
      <xdr:rowOff>333375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GrpSpPr/>
      </xdr:nvGrpSpPr>
      <xdr:grpSpPr>
        <a:xfrm>
          <a:off x="20157279" y="547687"/>
          <a:ext cx="1797846" cy="464344"/>
          <a:chOff x="14721360" y="230661"/>
          <a:chExt cx="1121741" cy="376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" name="Button 29" hidden="1">
                <a:extLst>
                  <a:ext uri="{63B3BB69-23CF-44E3-9099-C40C66FF867C}">
                    <a14:compatExt spid="_x0000_s4291613"/>
                  </a:ext>
                  <a:ext uri="{FF2B5EF4-FFF2-40B4-BE49-F238E27FC236}">
                    <a16:creationId xmlns:a16="http://schemas.microsoft.com/office/drawing/2014/main" id="{00000000-0008-0000-1D00-000023000000}"/>
                  </a:ext>
                </a:extLst>
              </xdr:cNvPr>
              <xdr:cNvSpPr/>
            </xdr:nvSpPr>
            <xdr:spPr bwMode="auto">
              <a:xfrm>
                <a:off x="14721360" y="230661"/>
                <a:ext cx="1121741" cy="376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39" name="Freeform: Shape 38">
            <a:extLst>
              <a:ext uri="{FF2B5EF4-FFF2-40B4-BE49-F238E27FC236}">
                <a16:creationId xmlns:a16="http://schemas.microsoft.com/office/drawing/2014/main" id="{00000000-0008-0000-1C00-0000270000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2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1</xdr:row>
          <xdr:rowOff>428625</xdr:rowOff>
        </xdr:from>
        <xdr:to>
          <xdr:col>16</xdr:col>
          <xdr:colOff>838200</xdr:colOff>
          <xdr:row>3</xdr:row>
          <xdr:rowOff>342900</xdr:rowOff>
        </xdr:to>
        <xdr:sp macro="" textlink="">
          <xdr:nvSpPr>
            <xdr:cNvPr id="36" name="Button 50" hidden="1">
              <a:extLst>
                <a:ext uri="{63B3BB69-23CF-44E3-9099-C40C66FF867C}">
                  <a14:compatExt spid="_x0000_s4291634"/>
                </a:ext>
                <a:ext uri="{FF2B5EF4-FFF2-40B4-BE49-F238E27FC236}">
                  <a16:creationId xmlns:a16="http://schemas.microsoft.com/office/drawing/2014/main" id="{00000000-0008-0000-1D00-00002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 Other Excel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3</xdr:row>
          <xdr:rowOff>38100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3883009" name="Button 1" descr="ទំព័រដើម" hidden="1">
              <a:extLst>
                <a:ext uri="{63B3BB69-23CF-44E3-9099-C40C66FF867C}">
                  <a14:compatExt spid="_x0000_s3883009"/>
                </a:ext>
                <a:ext uri="{FF2B5EF4-FFF2-40B4-BE49-F238E27FC236}">
                  <a16:creationId xmlns:a16="http://schemas.microsoft.com/office/drawing/2014/main" id="{00000000-0008-0000-1E00-00000140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1087438</xdr:colOff>
      <xdr:row>5</xdr:row>
      <xdr:rowOff>187942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7863418" y="865806"/>
          <a:ext cx="2749020" cy="1167605"/>
          <a:chOff x="6167462" y="295470"/>
          <a:chExt cx="1484035" cy="41443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វិក្កយបត្រធម្មតា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 txBox="1"/>
        </xdr:nvSpPr>
        <xdr:spPr>
          <a:xfrm>
            <a:off x="6180366" y="501433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276225</xdr:rowOff>
        </xdr:from>
        <xdr:to>
          <xdr:col>13</xdr:col>
          <xdr:colOff>1495425</xdr:colOff>
          <xdr:row>2</xdr:row>
          <xdr:rowOff>409575</xdr:rowOff>
        </xdr:to>
        <xdr:sp macro="" textlink="">
          <xdr:nvSpPr>
            <xdr:cNvPr id="4356099" name="Button 3" descr="ទំព័រដើម" hidden="1">
              <a:extLst>
                <a:ext uri="{63B3BB69-23CF-44E3-9099-C40C66FF867C}">
                  <a14:compatExt spid="_x0000_s4356099"/>
                </a:ext>
                <a:ext uri="{FF2B5EF4-FFF2-40B4-BE49-F238E27FC236}">
                  <a16:creationId xmlns:a16="http://schemas.microsoft.com/office/drawing/2014/main" id="{00000000-0008-0000-1F00-000003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1253978</xdr:colOff>
      <xdr:row>7</xdr:row>
      <xdr:rowOff>60970</xdr:rowOff>
    </xdr:from>
    <xdr:to>
      <xdr:col>8</xdr:col>
      <xdr:colOff>725902</xdr:colOff>
      <xdr:row>7</xdr:row>
      <xdr:rowOff>384086</xdr:rowOff>
    </xdr:to>
    <xdr:pic>
      <xdr:nvPicPr>
        <xdr:cNvPr id="6" name="tin_number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75634" y="2549376"/>
          <a:ext cx="4924987" cy="323116"/>
        </a:xfrm>
        <a:prstGeom prst="rect">
          <a:avLst/>
        </a:prstGeom>
      </xdr:spPr>
    </xdr:pic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E00-0000A6784200}"/>
            </a:ext>
          </a:extLst>
        </xdr:cNvPr>
        <xdr:cNvGrpSpPr/>
      </xdr:nvGrpSpPr>
      <xdr:grpSpPr>
        <a:xfrm>
          <a:off x="4896888" y="20397708"/>
          <a:ext cx="6054216" cy="2087178"/>
          <a:chOff x="4845801" y="22760513"/>
          <a:chExt cx="6261000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E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19050</xdr:rowOff>
        </xdr:from>
        <xdr:to>
          <xdr:col>14</xdr:col>
          <xdr:colOff>2714625</xdr:colOff>
          <xdr:row>2</xdr:row>
          <xdr:rowOff>428625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F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43207</xdr:colOff>
      <xdr:row>117</xdr:row>
      <xdr:rowOff>192201</xdr:rowOff>
    </xdr:from>
    <xdr:to>
      <xdr:col>52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466725</xdr:rowOff>
        </xdr:from>
        <xdr:to>
          <xdr:col>2</xdr:col>
          <xdr:colOff>1019175</xdr:colOff>
          <xdr:row>4</xdr:row>
          <xdr:rowOff>0</xdr:rowOff>
        </xdr:to>
        <xdr:sp macro="" textlink="">
          <xdr:nvSpPr>
            <xdr:cNvPr id="4393985" name="Button 1" descr="ទំព័រដើម" hidden="1">
              <a:extLst>
                <a:ext uri="{63B3BB69-23CF-44E3-9099-C40C66FF867C}">
                  <a14:compatExt spid="_x0000_s4393985"/>
                </a:ext>
                <a:ext uri="{FF2B5EF4-FFF2-40B4-BE49-F238E27FC236}">
                  <a16:creationId xmlns:a16="http://schemas.microsoft.com/office/drawing/2014/main" id="{00000000-0008-0000-2000-0000010C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‹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Content"/>
                  <a:ea typeface="Roboto Medium"/>
                  <a:cs typeface="Content"/>
                </a:rPr>
                <a:t> 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Content"/>
                <a:cs typeface="Content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53</xdr:col>
      <xdr:colOff>190500</xdr:colOff>
      <xdr:row>110</xdr:row>
      <xdr:rowOff>10584</xdr:rowOff>
    </xdr:from>
    <xdr:to>
      <xdr:col>61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46</xdr:col>
      <xdr:colOff>321470</xdr:colOff>
      <xdr:row>205</xdr:row>
      <xdr:rowOff>107157</xdr:rowOff>
    </xdr:from>
    <xdr:to>
      <xdr:col>55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45</xdr:col>
      <xdr:colOff>35847</xdr:colOff>
      <xdr:row>116</xdr:row>
      <xdr:rowOff>285749</xdr:rowOff>
    </xdr:from>
    <xdr:to>
      <xdr:col>48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46</xdr:col>
      <xdr:colOff>71438</xdr:colOff>
      <xdr:row>210</xdr:row>
      <xdr:rowOff>0</xdr:rowOff>
    </xdr:from>
    <xdr:to>
      <xdr:col>50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pSpPr/>
      </xdr:nvGrpSpPr>
      <xdr:grpSpPr>
        <a:xfrm>
          <a:off x="42529126" y="47124938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F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F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53</xdr:col>
      <xdr:colOff>317500</xdr:colOff>
      <xdr:row>210</xdr:row>
      <xdr:rowOff>0</xdr:rowOff>
    </xdr:from>
    <xdr:to>
      <xdr:col>59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GrpSpPr/>
      </xdr:nvGrpSpPr>
      <xdr:grpSpPr>
        <a:xfrm>
          <a:off x="48287781" y="47124938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F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F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63</xdr:col>
      <xdr:colOff>43207</xdr:colOff>
      <xdr:row>117</xdr:row>
      <xdr:rowOff>52917</xdr:rowOff>
    </xdr:from>
    <xdr:to>
      <xdr:col>70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246253</xdr:colOff>
      <xdr:row>112</xdr:row>
      <xdr:rowOff>83844</xdr:rowOff>
    </xdr:from>
    <xdr:to>
      <xdr:col>79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64</xdr:col>
      <xdr:colOff>321470</xdr:colOff>
      <xdr:row>204</xdr:row>
      <xdr:rowOff>338667</xdr:rowOff>
    </xdr:from>
    <xdr:to>
      <xdr:col>73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63</xdr:col>
      <xdr:colOff>46430</xdr:colOff>
      <xdr:row>116</xdr:row>
      <xdr:rowOff>211666</xdr:rowOff>
    </xdr:from>
    <xdr:to>
      <xdr:col>66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64</xdr:col>
      <xdr:colOff>71438</xdr:colOff>
      <xdr:row>210</xdr:row>
      <xdr:rowOff>0</xdr:rowOff>
    </xdr:from>
    <xdr:to>
      <xdr:col>68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F00-000010000000}"/>
            </a:ext>
          </a:extLst>
        </xdr:cNvPr>
        <xdr:cNvGrpSpPr/>
      </xdr:nvGrpSpPr>
      <xdr:grpSpPr>
        <a:xfrm>
          <a:off x="52732782" y="47124938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F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F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71</xdr:col>
      <xdr:colOff>317500</xdr:colOff>
      <xdr:row>210</xdr:row>
      <xdr:rowOff>0</xdr:rowOff>
    </xdr:from>
    <xdr:to>
      <xdr:col>77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GrpSpPr/>
      </xdr:nvGrpSpPr>
      <xdr:grpSpPr>
        <a:xfrm>
          <a:off x="57026969" y="47124938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F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F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1071562</xdr:colOff>
      <xdr:row>1</xdr:row>
      <xdr:rowOff>16668</xdr:rowOff>
    </xdr:from>
    <xdr:to>
      <xdr:col>4</xdr:col>
      <xdr:colOff>1512092</xdr:colOff>
      <xdr:row>3</xdr:row>
      <xdr:rowOff>316850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F00-000018000000}"/>
            </a:ext>
          </a:extLst>
        </xdr:cNvPr>
        <xdr:cNvGrpSpPr/>
      </xdr:nvGrpSpPr>
      <xdr:grpSpPr>
        <a:xfrm>
          <a:off x="1440656" y="123824"/>
          <a:ext cx="3155155" cy="895495"/>
          <a:chOff x="1644058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F00-000019000000}"/>
              </a:ext>
            </a:extLst>
          </xdr:cNvPr>
          <xdr:cNvSpPr/>
        </xdr:nvSpPr>
        <xdr:spPr>
          <a:xfrm>
            <a:off x="1644058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BILL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F00-00001A000000}"/>
              </a:ext>
            </a:extLst>
          </xdr:cNvPr>
          <xdr:cNvSpPr/>
        </xdr:nvSpPr>
        <xdr:spPr>
          <a:xfrm>
            <a:off x="1661507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333375</xdr:rowOff>
        </xdr:from>
        <xdr:to>
          <xdr:col>3</xdr:col>
          <xdr:colOff>438150</xdr:colOff>
          <xdr:row>10</xdr:row>
          <xdr:rowOff>333375</xdr:rowOff>
        </xdr:to>
        <xdr:sp macro="" textlink="">
          <xdr:nvSpPr>
            <xdr:cNvPr id="4393987" name="Button 3" hidden="1">
              <a:extLst>
                <a:ext uri="{63B3BB69-23CF-44E3-9099-C40C66FF867C}">
                  <a14:compatExt spid="_x0000_s4393987"/>
                </a:ext>
                <a:ext uri="{FF2B5EF4-FFF2-40B4-BE49-F238E27FC236}">
                  <a16:creationId xmlns:a16="http://schemas.microsoft.com/office/drawing/2014/main" id="{00000000-0008-0000-2000-0000030C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53</xdr:col>
      <xdr:colOff>1060</xdr:colOff>
      <xdr:row>114</xdr:row>
      <xdr:rowOff>148167</xdr:rowOff>
    </xdr:from>
    <xdr:to>
      <xdr:col>57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F00-00001B000000}"/>
            </a:ext>
          </a:extLst>
        </xdr:cNvPr>
        <xdr:cNvGrpSpPr/>
      </xdr:nvGrpSpPr>
      <xdr:grpSpPr>
        <a:xfrm>
          <a:off x="47971341" y="38141011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F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F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70</xdr:col>
      <xdr:colOff>384973</xdr:colOff>
      <xdr:row>114</xdr:row>
      <xdr:rowOff>288399</xdr:rowOff>
    </xdr:from>
    <xdr:to>
      <xdr:col>75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F00-00001E000000}"/>
            </a:ext>
          </a:extLst>
        </xdr:cNvPr>
        <xdr:cNvGrpSpPr/>
      </xdr:nvGrpSpPr>
      <xdr:grpSpPr>
        <a:xfrm>
          <a:off x="56642004" y="38281243"/>
          <a:ext cx="2385217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F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F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77</xdr:col>
      <xdr:colOff>103343</xdr:colOff>
      <xdr:row>115</xdr:row>
      <xdr:rowOff>105721</xdr:rowOff>
    </xdr:from>
    <xdr:to>
      <xdr:col>77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GrpSpPr>
          <a:grpSpLocks noChangeAspect="1"/>
        </xdr:cNvGrpSpPr>
      </xdr:nvGrpSpPr>
      <xdr:grpSpPr>
        <a:xfrm>
          <a:off x="59396468" y="38408127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F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F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F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F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F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F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F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F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F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F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F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F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F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F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F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F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F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F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F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F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F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F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F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F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F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F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F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F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F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F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F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F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F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F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F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F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F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F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F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F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F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F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F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F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F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F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F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F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F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F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F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F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F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F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F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F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F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F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F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F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F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F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F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F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F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F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F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F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F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F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F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F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F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F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F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F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F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F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F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F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F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F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F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F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F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F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F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F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F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F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F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F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F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F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F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F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F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F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F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F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F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F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F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F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F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F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F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F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F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F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F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F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F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F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F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F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F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F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F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F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F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F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F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F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F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F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F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F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F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F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F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F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F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F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F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F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F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F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F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F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F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F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F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F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F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F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F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F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F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F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F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F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F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F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F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F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F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F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F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F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F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F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F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F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F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F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F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F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F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F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F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F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F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F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F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F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F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F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F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F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F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F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F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F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F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F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F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F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F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F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F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F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F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F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F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F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F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F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F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F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F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F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F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F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F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F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F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F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F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F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F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F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F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F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F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F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F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F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F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F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F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F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F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F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F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F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F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F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F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F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F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F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F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F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F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F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F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F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F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F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F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F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F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F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F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F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F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F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F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F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F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F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F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F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F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F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F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F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F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F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F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F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F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F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F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F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F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F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F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F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F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F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F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F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F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F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F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F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F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F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F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F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F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F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F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F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F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F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F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F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F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F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F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F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F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F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F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F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F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F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F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F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F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F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F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F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F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F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F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F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F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F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F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F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F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F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F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F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F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F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F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F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F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F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F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F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F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F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F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F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F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F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F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F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F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F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F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F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F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F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F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F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F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F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F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F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F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F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F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F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F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F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F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F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F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F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F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F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F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F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F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F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F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F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F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F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F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F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F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F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F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F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F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F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F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F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F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F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F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F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F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F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F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F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F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F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F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F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F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F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F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F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F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F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F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F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F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F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F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F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F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F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F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F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F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F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F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F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F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F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F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F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59</xdr:col>
      <xdr:colOff>100962</xdr:colOff>
      <xdr:row>114</xdr:row>
      <xdr:rowOff>267646</xdr:rowOff>
    </xdr:from>
    <xdr:to>
      <xdr:col>59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F00-0000810D4300}"/>
            </a:ext>
          </a:extLst>
        </xdr:cNvPr>
        <xdr:cNvGrpSpPr>
          <a:grpSpLocks noChangeAspect="1"/>
        </xdr:cNvGrpSpPr>
      </xdr:nvGrpSpPr>
      <xdr:grpSpPr>
        <a:xfrm>
          <a:off x="50642993" y="38260490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F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F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F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F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F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F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F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F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F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F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F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F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F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F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F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F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F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F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F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F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F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F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F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F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F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F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F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F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F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F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F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F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F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F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F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F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F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F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F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F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F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F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F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F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F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F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F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F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F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F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F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F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F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F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F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F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F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F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F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F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F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F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F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F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F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F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F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F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F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F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F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F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F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F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F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F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F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F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F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F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F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F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F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F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F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F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F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F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F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F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F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F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F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F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F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F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F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F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F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F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F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F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F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F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F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F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F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F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F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F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F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F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F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F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F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F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F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F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F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F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F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F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F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F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F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F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F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F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F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F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F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F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F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F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F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F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F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F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F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F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F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F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F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F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F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F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F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F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F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F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F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F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F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F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F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F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F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F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F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F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F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F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F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F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F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F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F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F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F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F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F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F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F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F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F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F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F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F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F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F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F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F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F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F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F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F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F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F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F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F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F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F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F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F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F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F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F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F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F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F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F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F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F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F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F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F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F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F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F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F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F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F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F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F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F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F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F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F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F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F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F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F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F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F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F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F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F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F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F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F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F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F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F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F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F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F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F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F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F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F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F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F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F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F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F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F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F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F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F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F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F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F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F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F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F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F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F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F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F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F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F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F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F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F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F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F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F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F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F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F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F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F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F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F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F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F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F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F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F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F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F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F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F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F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F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F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F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F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F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F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F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F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F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F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F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F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F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F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F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F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F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F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F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F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F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F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F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F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F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F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F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F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F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F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F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F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F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F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F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F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F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F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F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F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F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F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F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F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F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F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F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F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F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F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F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F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F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F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F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F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F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F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F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F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F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F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F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F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F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F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F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F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F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F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F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F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F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F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F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F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F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F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F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F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F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F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F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F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F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F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F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F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F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F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F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F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F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F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F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F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F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F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F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F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F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F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F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F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F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F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F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F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F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F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F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F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F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F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F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F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F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F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F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F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F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F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F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F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F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F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F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F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1028700</xdr:colOff>
          <xdr:row>3</xdr:row>
          <xdr:rowOff>19050</xdr:rowOff>
        </xdr:from>
        <xdr:to>
          <xdr:col>4</xdr:col>
          <xdr:colOff>2085975</xdr:colOff>
          <xdr:row>4</xdr:row>
          <xdr:rowOff>19050</xdr:rowOff>
        </xdr:to>
        <xdr:sp macro="" textlink="">
          <xdr:nvSpPr>
            <xdr:cNvPr id="22" name="Button 4" hidden="1">
              <a:extLst>
                <a:ext uri="{63B3BB69-23CF-44E3-9099-C40C66FF867C}">
                  <a14:compatExt spid="_x0000_s4393988"/>
                </a:ext>
                <a:ext uri="{FF2B5EF4-FFF2-40B4-BE49-F238E27FC236}">
                  <a16:creationId xmlns:a16="http://schemas.microsoft.com/office/drawing/2014/main" id="{00000000-0008-0000-2000-00001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អ្នកផ្គត់ផ្គង់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17</xdr:row>
          <xdr:rowOff>323850</xdr:rowOff>
        </xdr:from>
        <xdr:to>
          <xdr:col>3</xdr:col>
          <xdr:colOff>9525</xdr:colOff>
          <xdr:row>18</xdr:row>
          <xdr:rowOff>323850</xdr:rowOff>
        </xdr:to>
        <xdr:sp macro="" textlink="">
          <xdr:nvSpPr>
            <xdr:cNvPr id="23" name="Button 7" hidden="1">
              <a:extLst>
                <a:ext uri="{63B3BB69-23CF-44E3-9099-C40C66FF867C}">
                  <a14:compatExt spid="_x0000_s4393991"/>
                </a:ext>
                <a:ext uri="{FF2B5EF4-FFF2-40B4-BE49-F238E27FC236}">
                  <a16:creationId xmlns:a16="http://schemas.microsoft.com/office/drawing/2014/main" id="{00000000-0008-0000-2000-00001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Default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452438</xdr:colOff>
      <xdr:row>2</xdr:row>
      <xdr:rowOff>31750</xdr:rowOff>
    </xdr:from>
    <xdr:to>
      <xdr:col>24</xdr:col>
      <xdr:colOff>988219</xdr:colOff>
      <xdr:row>3</xdr:row>
      <xdr:rowOff>345283</xdr:rowOff>
    </xdr:to>
    <xdr:grpSp>
      <xdr:nvGrpSpPr>
        <xdr:cNvPr id="4394786" name="Group 4394785">
          <a:extLst>
            <a:ext uri="{FF2B5EF4-FFF2-40B4-BE49-F238E27FC236}">
              <a16:creationId xmlns:a16="http://schemas.microsoft.com/office/drawing/2014/main" id="{00000000-0008-0000-1F00-0000220F4300}"/>
            </a:ext>
          </a:extLst>
        </xdr:cNvPr>
        <xdr:cNvGrpSpPr/>
      </xdr:nvGrpSpPr>
      <xdr:grpSpPr>
        <a:xfrm>
          <a:off x="18823782" y="627063"/>
          <a:ext cx="2000250" cy="420689"/>
          <a:chOff x="14721168" y="230661"/>
          <a:chExt cx="1121734" cy="376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93986" name="Button 8" hidden="1">
                <a:extLst>
                  <a:ext uri="{63B3BB69-23CF-44E3-9099-C40C66FF867C}">
                    <a14:compatExt spid="_x0000_s4393992"/>
                  </a:ext>
                  <a:ext uri="{FF2B5EF4-FFF2-40B4-BE49-F238E27FC236}">
                    <a16:creationId xmlns:a16="http://schemas.microsoft.com/office/drawing/2014/main" id="{00000000-0008-0000-2000-0000020C4300}"/>
                  </a:ext>
                </a:extLst>
              </xdr:cNvPr>
              <xdr:cNvSpPr/>
            </xdr:nvSpPr>
            <xdr:spPr bwMode="auto">
              <a:xfrm>
                <a:off x="14721168" y="230661"/>
                <a:ext cx="1121734" cy="376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4394788" name="Freeform: Shape 4394787">
            <a:extLst>
              <a:ext uri="{FF2B5EF4-FFF2-40B4-BE49-F238E27FC236}">
                <a16:creationId xmlns:a16="http://schemas.microsoft.com/office/drawing/2014/main" id="{00000000-0008-0000-1F00-0000240F43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2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838200</xdr:colOff>
          <xdr:row>1</xdr:row>
          <xdr:rowOff>38100</xdr:rowOff>
        </xdr:from>
        <xdr:to>
          <xdr:col>21</xdr:col>
          <xdr:colOff>200025</xdr:colOff>
          <xdr:row>1</xdr:row>
          <xdr:rowOff>447675</xdr:rowOff>
        </xdr:to>
        <xdr:sp macro="" textlink="">
          <xdr:nvSpPr>
            <xdr:cNvPr id="4394782" name="Button 9" hidden="1">
              <a:extLst>
                <a:ext uri="{63B3BB69-23CF-44E3-9099-C40C66FF867C}">
                  <a14:compatExt spid="_x0000_s4393993"/>
                </a:ext>
                <a:ext uri="{FF2B5EF4-FFF2-40B4-BE49-F238E27FC236}">
                  <a16:creationId xmlns:a16="http://schemas.microsoft.com/office/drawing/2014/main" id="{00000000-0008-0000-2000-00001E0F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NBC Exchange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466725</xdr:rowOff>
        </xdr:from>
        <xdr:to>
          <xdr:col>2</xdr:col>
          <xdr:colOff>1019175</xdr:colOff>
          <xdr:row>4</xdr:row>
          <xdr:rowOff>0</xdr:rowOff>
        </xdr:to>
        <xdr:sp macro="" textlink="">
          <xdr:nvSpPr>
            <xdr:cNvPr id="4001793" name="Button 1" descr="ទំព័រដើម" hidden="1">
              <a:extLst>
                <a:ext uri="{63B3BB69-23CF-44E3-9099-C40C66FF867C}">
                  <a14:compatExt spid="_x0000_s4001793"/>
                </a:ext>
                <a:ext uri="{FF2B5EF4-FFF2-40B4-BE49-F238E27FC236}">
                  <a16:creationId xmlns:a16="http://schemas.microsoft.com/office/drawing/2014/main" id="{00000000-0008-0000-2100-000001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‹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Content"/>
                  <a:ea typeface="Roboto Medium"/>
                  <a:cs typeface="Content"/>
                </a:rPr>
                <a:t> 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Content"/>
                <a:cs typeface="Content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1079428</xdr:colOff>
      <xdr:row>1</xdr:row>
      <xdr:rowOff>28575</xdr:rowOff>
    </xdr:from>
    <xdr:to>
      <xdr:col>4</xdr:col>
      <xdr:colOff>1382659</xdr:colOff>
      <xdr:row>3</xdr:row>
      <xdr:rowOff>316850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GrpSpPr/>
      </xdr:nvGrpSpPr>
      <xdr:grpSpPr>
        <a:xfrm>
          <a:off x="1448522" y="135731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20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14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381000</xdr:rowOff>
        </xdr:from>
        <xdr:to>
          <xdr:col>5</xdr:col>
          <xdr:colOff>466725</xdr:colOff>
          <xdr:row>10</xdr:row>
          <xdr:rowOff>381000</xdr:rowOff>
        </xdr:to>
        <xdr:sp macro="" textlink="">
          <xdr:nvSpPr>
            <xdr:cNvPr id="4001800" name="Button 8" hidden="1">
              <a:extLst>
                <a:ext uri="{63B3BB69-23CF-44E3-9099-C40C66FF867C}">
                  <a14:compatExt spid="_x0000_s4001800"/>
                </a:ext>
                <a:ext uri="{FF2B5EF4-FFF2-40B4-BE49-F238E27FC236}">
                  <a16:creationId xmlns:a16="http://schemas.microsoft.com/office/drawing/2014/main" id="{00000000-0008-0000-2100-000008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9</xdr:row>
          <xdr:rowOff>371475</xdr:rowOff>
        </xdr:from>
        <xdr:to>
          <xdr:col>5</xdr:col>
          <xdr:colOff>9525</xdr:colOff>
          <xdr:row>11</xdr:row>
          <xdr:rowOff>9525</xdr:rowOff>
        </xdr:to>
        <xdr:sp macro="" textlink="">
          <xdr:nvSpPr>
            <xdr:cNvPr id="4001807" name="Button 15" hidden="1">
              <a:extLst>
                <a:ext uri="{63B3BB69-23CF-44E3-9099-C40C66FF867C}">
                  <a14:compatExt spid="_x0000_s4001807"/>
                </a:ext>
                <a:ext uri="{FF2B5EF4-FFF2-40B4-BE49-F238E27FC236}">
                  <a16:creationId xmlns:a16="http://schemas.microsoft.com/office/drawing/2014/main" id="{00000000-0008-0000-2100-00000F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អតិថិជន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13</xdr:row>
          <xdr:rowOff>342900</xdr:rowOff>
        </xdr:from>
        <xdr:to>
          <xdr:col>3</xdr:col>
          <xdr:colOff>457200</xdr:colOff>
          <xdr:row>14</xdr:row>
          <xdr:rowOff>342900</xdr:rowOff>
        </xdr:to>
        <xdr:sp macro="" textlink="">
          <xdr:nvSpPr>
            <xdr:cNvPr id="4001815" name="Button 23" hidden="1">
              <a:extLst>
                <a:ext uri="{63B3BB69-23CF-44E3-9099-C40C66FF867C}">
                  <a14:compatExt spid="_x0000_s4001815"/>
                </a:ext>
                <a:ext uri="{FF2B5EF4-FFF2-40B4-BE49-F238E27FC236}">
                  <a16:creationId xmlns:a16="http://schemas.microsoft.com/office/drawing/2014/main" id="{00000000-0008-0000-2100-000017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17</xdr:row>
          <xdr:rowOff>323850</xdr:rowOff>
        </xdr:from>
        <xdr:to>
          <xdr:col>3</xdr:col>
          <xdr:colOff>9525</xdr:colOff>
          <xdr:row>18</xdr:row>
          <xdr:rowOff>323850</xdr:rowOff>
        </xdr:to>
        <xdr:sp macro="" textlink="">
          <xdr:nvSpPr>
            <xdr:cNvPr id="4001817" name="Button 25" hidden="1">
              <a:extLst>
                <a:ext uri="{63B3BB69-23CF-44E3-9099-C40C66FF867C}">
                  <a14:compatExt spid="_x0000_s4001817"/>
                </a:ext>
                <a:ext uri="{FF2B5EF4-FFF2-40B4-BE49-F238E27FC236}">
                  <a16:creationId xmlns:a16="http://schemas.microsoft.com/office/drawing/2014/main" id="{00000000-0008-0000-2100-000019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Chart Account Default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562239</xdr:colOff>
      <xdr:row>2</xdr:row>
      <xdr:rowOff>27781</xdr:rowOff>
    </xdr:from>
    <xdr:to>
      <xdr:col>22</xdr:col>
      <xdr:colOff>1133739</xdr:colOff>
      <xdr:row>3</xdr:row>
      <xdr:rowOff>349251</xdr:rowOff>
    </xdr:to>
    <xdr:grpSp>
      <xdr:nvGrpSpPr>
        <xdr:cNvPr id="4001794" name="Group 4001793">
          <a:extLst>
            <a:ext uri="{FF2B5EF4-FFF2-40B4-BE49-F238E27FC236}">
              <a16:creationId xmlns:a16="http://schemas.microsoft.com/office/drawing/2014/main" id="{00000000-0008-0000-2000-000002103D00}"/>
            </a:ext>
          </a:extLst>
        </xdr:cNvPr>
        <xdr:cNvGrpSpPr/>
      </xdr:nvGrpSpPr>
      <xdr:grpSpPr>
        <a:xfrm>
          <a:off x="18885958" y="623094"/>
          <a:ext cx="1976437" cy="428626"/>
          <a:chOff x="14721117" y="230661"/>
          <a:chExt cx="1121740" cy="37662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01827" name="Button 35" hidden="1">
                <a:extLst>
                  <a:ext uri="{63B3BB69-23CF-44E3-9099-C40C66FF867C}">
                    <a14:compatExt spid="_x0000_s4001827"/>
                  </a:ext>
                  <a:ext uri="{FF2B5EF4-FFF2-40B4-BE49-F238E27FC236}">
                    <a16:creationId xmlns:a16="http://schemas.microsoft.com/office/drawing/2014/main" id="{00000000-0008-0000-2100-000023103D00}"/>
                  </a:ext>
                </a:extLst>
              </xdr:cNvPr>
              <xdr:cNvSpPr/>
            </xdr:nvSpPr>
            <xdr:spPr bwMode="auto">
              <a:xfrm>
                <a:off x="14721117" y="230661"/>
                <a:ext cx="1121740" cy="3766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4001797" name="Freeform: Shape 4001796">
            <a:extLst>
              <a:ext uri="{FF2B5EF4-FFF2-40B4-BE49-F238E27FC236}">
                <a16:creationId xmlns:a16="http://schemas.microsoft.com/office/drawing/2014/main" id="{00000000-0008-0000-2000-000005103D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2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3</xdr:row>
          <xdr:rowOff>9525</xdr:rowOff>
        </xdr:from>
        <xdr:to>
          <xdr:col>20</xdr:col>
          <xdr:colOff>352425</xdr:colOff>
          <xdr:row>3</xdr:row>
          <xdr:rowOff>352425</xdr:rowOff>
        </xdr:to>
        <xdr:sp macro="" textlink="">
          <xdr:nvSpPr>
            <xdr:cNvPr id="4001830" name="Button 38" hidden="1">
              <a:extLst>
                <a:ext uri="{63B3BB69-23CF-44E3-9099-C40C66FF867C}">
                  <a14:compatExt spid="_x0000_s4001830"/>
                </a:ext>
                <a:ext uri="{FF2B5EF4-FFF2-40B4-BE49-F238E27FC236}">
                  <a16:creationId xmlns:a16="http://schemas.microsoft.com/office/drawing/2014/main" id="{00000000-0008-0000-2100-000026103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NBC Exchange 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43207</xdr:colOff>
      <xdr:row>117</xdr:row>
      <xdr:rowOff>192201</xdr:rowOff>
    </xdr:from>
    <xdr:to>
      <xdr:col>37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152988" y="11050701"/>
          <a:ext cx="4026036" cy="110558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304800</xdr:rowOff>
        </xdr:from>
        <xdr:to>
          <xdr:col>2</xdr:col>
          <xdr:colOff>990600</xdr:colOff>
          <xdr:row>3</xdr:row>
          <xdr:rowOff>190500</xdr:rowOff>
        </xdr:to>
        <xdr:sp macro="" textlink="">
          <xdr:nvSpPr>
            <xdr:cNvPr id="3605505" name="Button 1" descr="ទំព័រដើម" hidden="1">
              <a:extLst>
                <a:ext uri="{63B3BB69-23CF-44E3-9099-C40C66FF867C}">
                  <a14:compatExt spid="_x0000_s3605505"/>
                </a:ext>
                <a:ext uri="{FF2B5EF4-FFF2-40B4-BE49-F238E27FC236}">
                  <a16:creationId xmlns:a16="http://schemas.microsoft.com/office/drawing/2014/main" id="{00000000-0008-0000-2200-000001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‹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Content"/>
                  <a:ea typeface="Roboto Medium"/>
                  <a:cs typeface="Content"/>
                </a:rPr>
                <a:t> 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Content"/>
                <a:cs typeface="Content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1726407</xdr:colOff>
      <xdr:row>8</xdr:row>
      <xdr:rowOff>11906</xdr:rowOff>
    </xdr:from>
    <xdr:to>
      <xdr:col>2</xdr:col>
      <xdr:colOff>2096926</xdr:colOff>
      <xdr:row>8</xdr:row>
      <xdr:rowOff>312089</xdr:rowOff>
    </xdr:to>
    <xdr:grpSp>
      <xdr:nvGrpSpPr>
        <xdr:cNvPr id="3632963" name="Group 3632962">
          <a:extLst>
            <a:ext uri="{FF2B5EF4-FFF2-40B4-BE49-F238E27FC236}">
              <a16:creationId xmlns:a16="http://schemas.microsoft.com/office/drawing/2014/main" id="{00000000-0008-0000-2100-0000436F3700}"/>
            </a:ext>
          </a:extLst>
        </xdr:cNvPr>
        <xdr:cNvGrpSpPr/>
      </xdr:nvGrpSpPr>
      <xdr:grpSpPr>
        <a:xfrm>
          <a:off x="2095501" y="2119312"/>
          <a:ext cx="370519" cy="300183"/>
          <a:chOff x="2135221" y="2075829"/>
          <a:chExt cx="372072" cy="30018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06" name="Button 2" hidden="1">
                <a:extLst>
                  <a:ext uri="{63B3BB69-23CF-44E3-9099-C40C66FF867C}">
                    <a14:compatExt spid="_x0000_s3605506"/>
                  </a:ext>
                  <a:ext uri="{FF2B5EF4-FFF2-40B4-BE49-F238E27FC236}">
                    <a16:creationId xmlns:a16="http://schemas.microsoft.com/office/drawing/2014/main" id="{00000000-0008-0000-2200-000002043700}"/>
                  </a:ext>
                </a:extLst>
              </xdr:cNvPr>
              <xdr:cNvSpPr/>
            </xdr:nvSpPr>
            <xdr:spPr bwMode="auto">
              <a:xfrm>
                <a:off x="2135221" y="2075829"/>
                <a:ext cx="372072" cy="30018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pic macro="[0]!todayPickerDate">
        <xdr:nvPicPr>
          <xdr:cNvPr id="4" name="Graphic 3" descr="Daily calendar with solid fill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82368" y="2092111"/>
            <a:ext cx="281708" cy="275174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743648</xdr:colOff>
      <xdr:row>3</xdr:row>
      <xdr:rowOff>7899</xdr:rowOff>
    </xdr:from>
    <xdr:to>
      <xdr:col>20</xdr:col>
      <xdr:colOff>28999</xdr:colOff>
      <xdr:row>3</xdr:row>
      <xdr:rowOff>356723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100-00000A000000}"/>
            </a:ext>
          </a:extLst>
        </xdr:cNvPr>
        <xdr:cNvGrpSpPr/>
      </xdr:nvGrpSpPr>
      <xdr:grpSpPr>
        <a:xfrm>
          <a:off x="16031273" y="686555"/>
          <a:ext cx="1821382" cy="348824"/>
          <a:chOff x="14722867" y="242342"/>
          <a:chExt cx="1121875" cy="37662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14" name="Button 10" hidden="1">
                <a:extLst>
                  <a:ext uri="{63B3BB69-23CF-44E3-9099-C40C66FF867C}">
                    <a14:compatExt spid="_x0000_s3605514"/>
                  </a:ext>
                  <a:ext uri="{FF2B5EF4-FFF2-40B4-BE49-F238E27FC236}">
                    <a16:creationId xmlns:a16="http://schemas.microsoft.com/office/drawing/2014/main" id="{00000000-0008-0000-2200-00000A043700}"/>
                  </a:ext>
                </a:extLst>
              </xdr:cNvPr>
              <xdr:cNvSpPr/>
            </xdr:nvSpPr>
            <xdr:spPr bwMode="auto">
              <a:xfrm>
                <a:off x="14722867" y="242342"/>
                <a:ext cx="1121875" cy="3766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59436" rIns="27432" bIns="59436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បង្កើតថ្មី</a:t>
                </a:r>
              </a:p>
            </xdr:txBody>
          </xdr:sp>
        </mc:Choice>
        <mc:Fallback/>
      </mc:AlternateContent>
      <xdr:sp macro="" textlink="">
        <xdr:nvSpPr>
          <xdr:cNvPr id="13" name="Freeform: Shape 12">
            <a:extLst>
              <a:ext uri="{FF2B5EF4-FFF2-40B4-BE49-F238E27FC236}">
                <a16:creationId xmlns:a16="http://schemas.microsoft.com/office/drawing/2014/main" id="{00000000-0008-0000-2100-00000D000000}"/>
              </a:ext>
            </a:extLst>
          </xdr:cNvPr>
          <xdr:cNvSpPr/>
        </xdr:nvSpPr>
        <xdr:spPr>
          <a:xfrm>
            <a:off x="14832381" y="308502"/>
            <a:ext cx="130189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1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20</xdr:col>
      <xdr:colOff>102046</xdr:colOff>
      <xdr:row>2</xdr:row>
      <xdr:rowOff>104236</xdr:rowOff>
    </xdr:from>
    <xdr:to>
      <xdr:col>21</xdr:col>
      <xdr:colOff>1367561</xdr:colOff>
      <xdr:row>3</xdr:row>
      <xdr:rowOff>345903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GrpSpPr/>
      </xdr:nvGrpSpPr>
      <xdr:grpSpPr>
        <a:xfrm>
          <a:off x="17925702" y="675736"/>
          <a:ext cx="1456015" cy="348823"/>
          <a:chOff x="14721108" y="230661"/>
          <a:chExt cx="1121737" cy="376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15" name="Button 11" hidden="1">
                <a:extLst>
                  <a:ext uri="{63B3BB69-23CF-44E3-9099-C40C66FF867C}">
                    <a14:compatExt spid="_x0000_s3605515"/>
                  </a:ext>
                  <a:ext uri="{FF2B5EF4-FFF2-40B4-BE49-F238E27FC236}">
                    <a16:creationId xmlns:a16="http://schemas.microsoft.com/office/drawing/2014/main" id="{00000000-0008-0000-2200-00000B043700}"/>
                  </a:ext>
                </a:extLst>
              </xdr:cNvPr>
              <xdr:cNvSpPr/>
            </xdr:nvSpPr>
            <xdr:spPr bwMode="auto">
              <a:xfrm>
                <a:off x="14721108" y="230661"/>
                <a:ext cx="1121737" cy="376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59436" rIns="27432" bIns="59436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12" name="Freeform: Shape 11">
            <a:extLst>
              <a:ext uri="{FF2B5EF4-FFF2-40B4-BE49-F238E27FC236}">
                <a16:creationId xmlns:a16="http://schemas.microsoft.com/office/drawing/2014/main" id="{00000000-0008-0000-2100-00000C0000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1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12</xdr:col>
      <xdr:colOff>155320</xdr:colOff>
      <xdr:row>2</xdr:row>
      <xdr:rowOff>106377</xdr:rowOff>
    </xdr:from>
    <xdr:to>
      <xdr:col>12</xdr:col>
      <xdr:colOff>507745</xdr:colOff>
      <xdr:row>3</xdr:row>
      <xdr:rowOff>346242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GrpSpPr/>
      </xdr:nvGrpSpPr>
      <xdr:grpSpPr>
        <a:xfrm>
          <a:off x="8442070" y="677877"/>
          <a:ext cx="352425" cy="347021"/>
          <a:chOff x="2330398" y="1561901"/>
          <a:chExt cx="336549" cy="339726"/>
        </a:xfrm>
        <a:solidFill>
          <a:srgbClr val="0070C0"/>
        </a:soli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13" name="Button 9" hidden="1">
                <a:extLst>
                  <a:ext uri="{63B3BB69-23CF-44E3-9099-C40C66FF867C}">
                    <a14:compatExt spid="_x0000_s3605513"/>
                  </a:ext>
                  <a:ext uri="{FF2B5EF4-FFF2-40B4-BE49-F238E27FC236}">
                    <a16:creationId xmlns:a16="http://schemas.microsoft.com/office/drawing/2014/main" id="{00000000-0008-0000-2200-000009043700}"/>
                  </a:ext>
                </a:extLst>
              </xdr:cNvPr>
              <xdr:cNvSpPr/>
            </xdr:nvSpPr>
            <xdr:spPr bwMode="auto">
              <a:xfrm>
                <a:off x="2330398" y="1561901"/>
                <a:ext cx="336549" cy="3397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pic>
        <xdr:nvPicPr>
          <xdr:cNvPr id="8" name="Graphic 7" descr="Magnifying glass with solid fill">
            <a:extLst>
              <a:ext uri="{FF2B5EF4-FFF2-40B4-BE49-F238E27FC236}">
                <a16:creationId xmlns:a16="http://schemas.microsoft.com/office/drawing/2014/main" id="{00000000-0008-0000-2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69600" y="1602886"/>
            <a:ext cx="275166" cy="278101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108104</xdr:colOff>
      <xdr:row>112</xdr:row>
      <xdr:rowOff>123343</xdr:rowOff>
    </xdr:from>
    <xdr:to>
      <xdr:col>46</xdr:col>
      <xdr:colOff>40372</xdr:colOff>
      <xdr:row>114</xdr:row>
      <xdr:rowOff>7922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2100-000018000000}"/>
            </a:ext>
          </a:extLst>
        </xdr:cNvPr>
        <xdr:cNvSpPr/>
      </xdr:nvSpPr>
      <xdr:spPr>
        <a:xfrm>
          <a:off x="29635604" y="15232374"/>
          <a:ext cx="2980268" cy="50370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31</xdr:col>
      <xdr:colOff>321470</xdr:colOff>
      <xdr:row>205</xdr:row>
      <xdr:rowOff>107157</xdr:rowOff>
    </xdr:from>
    <xdr:to>
      <xdr:col>40</xdr:col>
      <xdr:colOff>107157</xdr:colOff>
      <xdr:row>208</xdr:row>
      <xdr:rowOff>0</xdr:rowOff>
    </xdr:to>
    <xdr:sp macro="" textlink="$C$22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2100-00001A000000}"/>
            </a:ext>
          </a:extLst>
        </xdr:cNvPr>
        <xdr:cNvSpPr/>
      </xdr:nvSpPr>
      <xdr:spPr>
        <a:xfrm>
          <a:off x="17585533" y="10679907"/>
          <a:ext cx="4726780" cy="1035843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30</xdr:col>
      <xdr:colOff>35847</xdr:colOff>
      <xdr:row>116</xdr:row>
      <xdr:rowOff>285749</xdr:rowOff>
    </xdr:from>
    <xdr:to>
      <xdr:col>33</xdr:col>
      <xdr:colOff>226217</xdr:colOff>
      <xdr:row>118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2100-00001B000000}"/>
            </a:ext>
          </a:extLst>
        </xdr:cNvPr>
        <xdr:cNvSpPr/>
      </xdr:nvSpPr>
      <xdr:spPr>
        <a:xfrm>
          <a:off x="21145628" y="10834687"/>
          <a:ext cx="1178589" cy="3333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31</xdr:col>
      <xdr:colOff>71438</xdr:colOff>
      <xdr:row>210</xdr:row>
      <xdr:rowOff>0</xdr:rowOff>
    </xdr:from>
    <xdr:to>
      <xdr:col>35</xdr:col>
      <xdr:colOff>5794</xdr:colOff>
      <xdr:row>214</xdr:row>
      <xdr:rowOff>7142</xdr:rowOff>
    </xdr:to>
    <xdr:grpSp>
      <xdr:nvGrpSpPr>
        <xdr:cNvPr id="3605703" name="Group 3605702">
          <a:extLst>
            <a:ext uri="{FF2B5EF4-FFF2-40B4-BE49-F238E27FC236}">
              <a16:creationId xmlns:a16="http://schemas.microsoft.com/office/drawing/2014/main" id="{00000000-0008-0000-2100-0000C7043700}"/>
            </a:ext>
          </a:extLst>
        </xdr:cNvPr>
        <xdr:cNvGrpSpPr/>
      </xdr:nvGrpSpPr>
      <xdr:grpSpPr>
        <a:xfrm>
          <a:off x="26943844" y="24860250"/>
          <a:ext cx="2565638" cy="1245392"/>
          <a:chOff x="168084" y="8386956"/>
          <a:chExt cx="2596062" cy="800467"/>
        </a:xfrm>
      </xdr:grpSpPr>
      <xdr:sp macro="" textlink="">
        <xdr:nvSpPr>
          <xdr:cNvPr id="3605704" name="TextBox 3605703">
            <a:extLst>
              <a:ext uri="{FF2B5EF4-FFF2-40B4-BE49-F238E27FC236}">
                <a16:creationId xmlns:a16="http://schemas.microsoft.com/office/drawing/2014/main" id="{00000000-0008-0000-2100-0000C80437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605705" name="TextBox 3605704">
            <a:extLst>
              <a:ext uri="{FF2B5EF4-FFF2-40B4-BE49-F238E27FC236}">
                <a16:creationId xmlns:a16="http://schemas.microsoft.com/office/drawing/2014/main" id="{00000000-0008-0000-2100-0000C90437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38</xdr:col>
      <xdr:colOff>317500</xdr:colOff>
      <xdr:row>210</xdr:row>
      <xdr:rowOff>0</xdr:rowOff>
    </xdr:from>
    <xdr:to>
      <xdr:col>44</xdr:col>
      <xdr:colOff>569356</xdr:colOff>
      <xdr:row>214</xdr:row>
      <xdr:rowOff>7142</xdr:rowOff>
    </xdr:to>
    <xdr:grpSp>
      <xdr:nvGrpSpPr>
        <xdr:cNvPr id="3605706" name="Group 3605705">
          <a:extLst>
            <a:ext uri="{FF2B5EF4-FFF2-40B4-BE49-F238E27FC236}">
              <a16:creationId xmlns:a16="http://schemas.microsoft.com/office/drawing/2014/main" id="{00000000-0008-0000-2100-0000CA043700}"/>
            </a:ext>
          </a:extLst>
        </xdr:cNvPr>
        <xdr:cNvGrpSpPr/>
      </xdr:nvGrpSpPr>
      <xdr:grpSpPr>
        <a:xfrm>
          <a:off x="31190406" y="24860250"/>
          <a:ext cx="2823606" cy="1245392"/>
          <a:chOff x="168084" y="8386956"/>
          <a:chExt cx="2596062" cy="800467"/>
        </a:xfrm>
      </xdr:grpSpPr>
      <xdr:sp macro="" textlink="">
        <xdr:nvSpPr>
          <xdr:cNvPr id="3605707" name="TextBox 3605706">
            <a:extLst>
              <a:ext uri="{FF2B5EF4-FFF2-40B4-BE49-F238E27FC236}">
                <a16:creationId xmlns:a16="http://schemas.microsoft.com/office/drawing/2014/main" id="{00000000-0008-0000-2100-0000CB0437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605708" name="TextBox 3605707">
            <a:extLst>
              <a:ext uri="{FF2B5EF4-FFF2-40B4-BE49-F238E27FC236}">
                <a16:creationId xmlns:a16="http://schemas.microsoft.com/office/drawing/2014/main" id="{00000000-0008-0000-2100-0000CC0437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48</xdr:col>
      <xdr:colOff>43207</xdr:colOff>
      <xdr:row>117</xdr:row>
      <xdr:rowOff>52917</xdr:rowOff>
    </xdr:from>
    <xdr:to>
      <xdr:col>55</xdr:col>
      <xdr:colOff>44930</xdr:colOff>
      <xdr:row>121</xdr:row>
      <xdr:rowOff>59531</xdr:rowOff>
    </xdr:to>
    <xdr:sp macro="" textlink="">
      <xdr:nvSpPr>
        <xdr:cNvPr id="3605710" name="Rectangle: Rounded Corners 3605709">
          <a:extLst>
            <a:ext uri="{FF2B5EF4-FFF2-40B4-BE49-F238E27FC236}">
              <a16:creationId xmlns:a16="http://schemas.microsoft.com/office/drawing/2014/main" id="{00000000-0008-0000-2100-0000CE043700}"/>
            </a:ext>
          </a:extLst>
        </xdr:cNvPr>
        <xdr:cNvSpPr/>
      </xdr:nvSpPr>
      <xdr:spPr>
        <a:xfrm>
          <a:off x="25750124" y="3481917"/>
          <a:ext cx="4044556" cy="12766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246253</xdr:colOff>
      <xdr:row>112</xdr:row>
      <xdr:rowOff>83844</xdr:rowOff>
    </xdr:from>
    <xdr:to>
      <xdr:col>64</xdr:col>
      <xdr:colOff>162870</xdr:colOff>
      <xdr:row>113</xdr:row>
      <xdr:rowOff>281386</xdr:rowOff>
    </xdr:to>
    <xdr:sp macro="" textlink="">
      <xdr:nvSpPr>
        <xdr:cNvPr id="3605711" name="Rectangle 3605710">
          <a:extLst>
            <a:ext uri="{FF2B5EF4-FFF2-40B4-BE49-F238E27FC236}">
              <a16:creationId xmlns:a16="http://schemas.microsoft.com/office/drawing/2014/main" id="{00000000-0008-0000-2100-0000CF043700}"/>
            </a:ext>
          </a:extLst>
        </xdr:cNvPr>
        <xdr:cNvSpPr/>
      </xdr:nvSpPr>
      <xdr:spPr>
        <a:xfrm>
          <a:off x="34702941" y="9370719"/>
          <a:ext cx="2893179" cy="5071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49</xdr:col>
      <xdr:colOff>321470</xdr:colOff>
      <xdr:row>204</xdr:row>
      <xdr:rowOff>338667</xdr:rowOff>
    </xdr:from>
    <xdr:to>
      <xdr:col>58</xdr:col>
      <xdr:colOff>107157</xdr:colOff>
      <xdr:row>208</xdr:row>
      <xdr:rowOff>0</xdr:rowOff>
    </xdr:to>
    <xdr:sp macro="" textlink="$C$22">
      <xdr:nvSpPr>
        <xdr:cNvPr id="3605712" name="Rectangle: Rounded Corners 3605711">
          <a:extLst>
            <a:ext uri="{FF2B5EF4-FFF2-40B4-BE49-F238E27FC236}">
              <a16:creationId xmlns:a16="http://schemas.microsoft.com/office/drawing/2014/main" id="{00000000-0008-0000-2100-0000D0043700}"/>
            </a:ext>
          </a:extLst>
        </xdr:cNvPr>
        <xdr:cNvSpPr/>
      </xdr:nvSpPr>
      <xdr:spPr>
        <a:xfrm>
          <a:off x="26451720" y="10752667"/>
          <a:ext cx="4738687" cy="1185333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48</xdr:col>
      <xdr:colOff>46430</xdr:colOff>
      <xdr:row>116</xdr:row>
      <xdr:rowOff>211666</xdr:rowOff>
    </xdr:from>
    <xdr:to>
      <xdr:col>51</xdr:col>
      <xdr:colOff>392905</xdr:colOff>
      <xdr:row>117</xdr:row>
      <xdr:rowOff>243417</xdr:rowOff>
    </xdr:to>
    <xdr:sp macro="" textlink="">
      <xdr:nvSpPr>
        <xdr:cNvPr id="3605714" name="Rectangle 3605713">
          <a:extLst>
            <a:ext uri="{FF2B5EF4-FFF2-40B4-BE49-F238E27FC236}">
              <a16:creationId xmlns:a16="http://schemas.microsoft.com/office/drawing/2014/main" id="{00000000-0008-0000-2100-0000D2043700}"/>
            </a:ext>
          </a:extLst>
        </xdr:cNvPr>
        <xdr:cNvSpPr/>
      </xdr:nvSpPr>
      <xdr:spPr>
        <a:xfrm>
          <a:off x="30121618" y="10760604"/>
          <a:ext cx="1310881" cy="341313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49</xdr:col>
      <xdr:colOff>71438</xdr:colOff>
      <xdr:row>210</xdr:row>
      <xdr:rowOff>0</xdr:rowOff>
    </xdr:from>
    <xdr:to>
      <xdr:col>53</xdr:col>
      <xdr:colOff>5794</xdr:colOff>
      <xdr:row>214</xdr:row>
      <xdr:rowOff>7142</xdr:rowOff>
    </xdr:to>
    <xdr:grpSp>
      <xdr:nvGrpSpPr>
        <xdr:cNvPr id="3605940" name="Group 3605939">
          <a:extLst>
            <a:ext uri="{FF2B5EF4-FFF2-40B4-BE49-F238E27FC236}">
              <a16:creationId xmlns:a16="http://schemas.microsoft.com/office/drawing/2014/main" id="{00000000-0008-0000-2100-0000B4053700}"/>
            </a:ext>
          </a:extLst>
        </xdr:cNvPr>
        <xdr:cNvGrpSpPr/>
      </xdr:nvGrpSpPr>
      <xdr:grpSpPr>
        <a:xfrm>
          <a:off x="35635407" y="24860250"/>
          <a:ext cx="2565637" cy="1245392"/>
          <a:chOff x="168084" y="8386956"/>
          <a:chExt cx="2596062" cy="800467"/>
        </a:xfrm>
      </xdr:grpSpPr>
      <xdr:sp macro="" textlink="">
        <xdr:nvSpPr>
          <xdr:cNvPr id="3605941" name="TextBox 3605940">
            <a:extLst>
              <a:ext uri="{FF2B5EF4-FFF2-40B4-BE49-F238E27FC236}">
                <a16:creationId xmlns:a16="http://schemas.microsoft.com/office/drawing/2014/main" id="{00000000-0008-0000-2100-0000B50537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605942" name="TextBox 3605941">
            <a:extLst>
              <a:ext uri="{FF2B5EF4-FFF2-40B4-BE49-F238E27FC236}">
                <a16:creationId xmlns:a16="http://schemas.microsoft.com/office/drawing/2014/main" id="{00000000-0008-0000-2100-0000B60537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56</xdr:col>
      <xdr:colOff>317500</xdr:colOff>
      <xdr:row>210</xdr:row>
      <xdr:rowOff>0</xdr:rowOff>
    </xdr:from>
    <xdr:to>
      <xdr:col>62</xdr:col>
      <xdr:colOff>569356</xdr:colOff>
      <xdr:row>214</xdr:row>
      <xdr:rowOff>7142</xdr:rowOff>
    </xdr:to>
    <xdr:grpSp>
      <xdr:nvGrpSpPr>
        <xdr:cNvPr id="3605943" name="Group 3605942">
          <a:extLst>
            <a:ext uri="{FF2B5EF4-FFF2-40B4-BE49-F238E27FC236}">
              <a16:creationId xmlns:a16="http://schemas.microsoft.com/office/drawing/2014/main" id="{00000000-0008-0000-2100-0000B7053700}"/>
            </a:ext>
          </a:extLst>
        </xdr:cNvPr>
        <xdr:cNvGrpSpPr/>
      </xdr:nvGrpSpPr>
      <xdr:grpSpPr>
        <a:xfrm>
          <a:off x="39929594" y="24860250"/>
          <a:ext cx="2835512" cy="1245392"/>
          <a:chOff x="168084" y="8386956"/>
          <a:chExt cx="2596062" cy="800467"/>
        </a:xfrm>
      </xdr:grpSpPr>
      <xdr:sp macro="" textlink="">
        <xdr:nvSpPr>
          <xdr:cNvPr id="3605944" name="TextBox 3605943">
            <a:extLst>
              <a:ext uri="{FF2B5EF4-FFF2-40B4-BE49-F238E27FC236}">
                <a16:creationId xmlns:a16="http://schemas.microsoft.com/office/drawing/2014/main" id="{00000000-0008-0000-2100-0000B80537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605945" name="TextBox 3605944">
            <a:extLst>
              <a:ext uri="{FF2B5EF4-FFF2-40B4-BE49-F238E27FC236}">
                <a16:creationId xmlns:a16="http://schemas.microsoft.com/office/drawing/2014/main" id="{00000000-0008-0000-2100-0000B90537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15</xdr:col>
      <xdr:colOff>300077</xdr:colOff>
      <xdr:row>1</xdr:row>
      <xdr:rowOff>10584</xdr:rowOff>
    </xdr:from>
    <xdr:to>
      <xdr:col>17</xdr:col>
      <xdr:colOff>1101480</xdr:colOff>
      <xdr:row>1</xdr:row>
      <xdr:rowOff>371900</xdr:rowOff>
    </xdr:to>
    <xdr:grpSp>
      <xdr:nvGrpSpPr>
        <xdr:cNvPr id="3606834" name="Group 3606833">
          <a:extLst>
            <a:ext uri="{FF2B5EF4-FFF2-40B4-BE49-F238E27FC236}">
              <a16:creationId xmlns:a16="http://schemas.microsoft.com/office/drawing/2014/main" id="{00000000-0008-0000-2100-000032093700}"/>
            </a:ext>
          </a:extLst>
        </xdr:cNvPr>
        <xdr:cNvGrpSpPr/>
      </xdr:nvGrpSpPr>
      <xdr:grpSpPr>
        <a:xfrm>
          <a:off x="14027983" y="117740"/>
          <a:ext cx="2122997" cy="361316"/>
          <a:chOff x="16872168" y="1005417"/>
          <a:chExt cx="2082798" cy="43074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23" name="Button 19" hidden="1">
                <a:extLst>
                  <a:ext uri="{63B3BB69-23CF-44E3-9099-C40C66FF867C}">
                    <a14:compatExt spid="_x0000_s3605523"/>
                  </a:ext>
                  <a:ext uri="{FF2B5EF4-FFF2-40B4-BE49-F238E27FC236}">
                    <a16:creationId xmlns:a16="http://schemas.microsoft.com/office/drawing/2014/main" id="{00000000-0008-0000-2200-000013043700}"/>
                  </a:ext>
                </a:extLst>
              </xdr:cNvPr>
              <xdr:cNvSpPr/>
            </xdr:nvSpPr>
            <xdr:spPr bwMode="auto">
              <a:xfrm>
                <a:off x="16872168" y="1005417"/>
                <a:ext cx="2082798" cy="43074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59436" rIns="27432" bIns="59436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  ព្រីនមានក្បាលទំព័រ</a:t>
                </a:r>
              </a:p>
            </xdr:txBody>
          </xdr:sp>
        </mc:Choice>
        <mc:Fallback/>
      </mc:AlternateContent>
      <xdr:pic>
        <xdr:nvPicPr>
          <xdr:cNvPr id="3606832" name="Graphic 3606831" descr="Fax with solid fill">
            <a:extLst>
              <a:ext uri="{FF2B5EF4-FFF2-40B4-BE49-F238E27FC236}">
                <a16:creationId xmlns:a16="http://schemas.microsoft.com/office/drawing/2014/main" id="{00000000-0008-0000-2100-0000300937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017998" y="1041398"/>
            <a:ext cx="359834" cy="3598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530473</xdr:colOff>
      <xdr:row>1</xdr:row>
      <xdr:rowOff>16054</xdr:rowOff>
    </xdr:from>
    <xdr:to>
      <xdr:col>21</xdr:col>
      <xdr:colOff>912715</xdr:colOff>
      <xdr:row>1</xdr:row>
      <xdr:rowOff>375887</xdr:rowOff>
    </xdr:to>
    <xdr:grpSp>
      <xdr:nvGrpSpPr>
        <xdr:cNvPr id="3606835" name="Group 3606834">
          <a:extLst>
            <a:ext uri="{FF2B5EF4-FFF2-40B4-BE49-F238E27FC236}">
              <a16:creationId xmlns:a16="http://schemas.microsoft.com/office/drawing/2014/main" id="{00000000-0008-0000-2100-000033093700}"/>
            </a:ext>
          </a:extLst>
        </xdr:cNvPr>
        <xdr:cNvGrpSpPr/>
      </xdr:nvGrpSpPr>
      <xdr:grpSpPr>
        <a:xfrm>
          <a:off x="17103973" y="123210"/>
          <a:ext cx="1822898" cy="359833"/>
          <a:chOff x="16872044" y="1005420"/>
          <a:chExt cx="2082801" cy="43074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24" name="Button 20" hidden="1">
                <a:extLst>
                  <a:ext uri="{63B3BB69-23CF-44E3-9099-C40C66FF867C}">
                    <a14:compatExt spid="_x0000_s3605524"/>
                  </a:ext>
                  <a:ext uri="{FF2B5EF4-FFF2-40B4-BE49-F238E27FC236}">
                    <a16:creationId xmlns:a16="http://schemas.microsoft.com/office/drawing/2014/main" id="{00000000-0008-0000-2200-000014043700}"/>
                  </a:ext>
                </a:extLst>
              </xdr:cNvPr>
              <xdr:cNvSpPr/>
            </xdr:nvSpPr>
            <xdr:spPr bwMode="auto">
              <a:xfrm>
                <a:off x="16872044" y="1005420"/>
                <a:ext cx="2082801" cy="4307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59436" rIns="27432" bIns="59436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  ព្រីនអត់ក្បាលទំព័រ</a:t>
                </a:r>
              </a:p>
            </xdr:txBody>
          </xdr:sp>
        </mc:Choice>
        <mc:Fallback/>
      </mc:AlternateContent>
      <xdr:pic>
        <xdr:nvPicPr>
          <xdr:cNvPr id="3606837" name="Graphic 3606836" descr="Fax with solid fill">
            <a:extLst>
              <a:ext uri="{FF2B5EF4-FFF2-40B4-BE49-F238E27FC236}">
                <a16:creationId xmlns:a16="http://schemas.microsoft.com/office/drawing/2014/main" id="{00000000-0008-0000-2100-0000350937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017998" y="1041398"/>
            <a:ext cx="359834" cy="35983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1079500</xdr:colOff>
      <xdr:row>1</xdr:row>
      <xdr:rowOff>28575</xdr:rowOff>
    </xdr:from>
    <xdr:to>
      <xdr:col>4</xdr:col>
      <xdr:colOff>1382615</xdr:colOff>
      <xdr:row>3</xdr:row>
      <xdr:rowOff>316850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GrpSpPr/>
      </xdr:nvGrpSpPr>
      <xdr:grpSpPr>
        <a:xfrm>
          <a:off x="1448594" y="135731"/>
          <a:ext cx="3017740" cy="859775"/>
          <a:chOff x="1651000" y="102658"/>
          <a:chExt cx="2663198" cy="85977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2100-000010000000}"/>
              </a:ext>
            </a:extLst>
          </xdr:cNvPr>
          <xdr:cNvSpPr/>
        </xdr:nvSpPr>
        <xdr:spPr>
          <a:xfrm>
            <a:off x="2222500" y="588334"/>
            <a:ext cx="1590048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</a:p>
        </xdr:txBody>
      </xdr:sp>
      <xdr:sp macro="" textlink="">
        <xdr:nvSpPr>
          <xdr:cNvPr id="3606838" name="Rectangle 3606837">
            <a:extLst>
              <a:ext uri="{FF2B5EF4-FFF2-40B4-BE49-F238E27FC236}">
                <a16:creationId xmlns:a16="http://schemas.microsoft.com/office/drawing/2014/main" id="{00000000-0008-0000-2100-0000360937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ប័ណ្ណប៉ាន់ស្មានតម្លៃ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9</xdr:row>
          <xdr:rowOff>342900</xdr:rowOff>
        </xdr:from>
        <xdr:to>
          <xdr:col>5</xdr:col>
          <xdr:colOff>381000</xdr:colOff>
          <xdr:row>10</xdr:row>
          <xdr:rowOff>342900</xdr:rowOff>
        </xdr:to>
        <xdr:sp macro="" textlink="">
          <xdr:nvSpPr>
            <xdr:cNvPr id="3605534" name="Button 30" hidden="1">
              <a:extLst>
                <a:ext uri="{63B3BB69-23CF-44E3-9099-C40C66FF867C}">
                  <a14:compatExt spid="_x0000_s3605534"/>
                </a:ext>
                <a:ext uri="{FF2B5EF4-FFF2-40B4-BE49-F238E27FC236}">
                  <a16:creationId xmlns:a16="http://schemas.microsoft.com/office/drawing/2014/main" id="{00000000-0008-0000-2200-00001E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17</xdr:row>
          <xdr:rowOff>9525</xdr:rowOff>
        </xdr:from>
        <xdr:to>
          <xdr:col>5</xdr:col>
          <xdr:colOff>381000</xdr:colOff>
          <xdr:row>17</xdr:row>
          <xdr:rowOff>314325</xdr:rowOff>
        </xdr:to>
        <xdr:sp macro="" textlink="">
          <xdr:nvSpPr>
            <xdr:cNvPr id="3605535" name="Button 31" hidden="1">
              <a:extLst>
                <a:ext uri="{63B3BB69-23CF-44E3-9099-C40C66FF867C}">
                  <a14:compatExt spid="_x0000_s3605535"/>
                </a:ext>
                <a:ext uri="{FF2B5EF4-FFF2-40B4-BE49-F238E27FC236}">
                  <a16:creationId xmlns:a16="http://schemas.microsoft.com/office/drawing/2014/main" id="{00000000-0008-0000-2200-00001F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14</xdr:row>
          <xdr:rowOff>19050</xdr:rowOff>
        </xdr:from>
        <xdr:to>
          <xdr:col>5</xdr:col>
          <xdr:colOff>419100</xdr:colOff>
          <xdr:row>15</xdr:row>
          <xdr:rowOff>19050</xdr:rowOff>
        </xdr:to>
        <xdr:sp macro="" textlink="">
          <xdr:nvSpPr>
            <xdr:cNvPr id="3605536" name="Button 32" hidden="1">
              <a:extLst>
                <a:ext uri="{63B3BB69-23CF-44E3-9099-C40C66FF867C}">
                  <a14:compatExt spid="_x0000_s3605536"/>
                </a:ext>
                <a:ext uri="{FF2B5EF4-FFF2-40B4-BE49-F238E27FC236}">
                  <a16:creationId xmlns:a16="http://schemas.microsoft.com/office/drawing/2014/main" id="{00000000-0008-0000-2200-000020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677335</xdr:colOff>
      <xdr:row>114</xdr:row>
      <xdr:rowOff>148167</xdr:rowOff>
    </xdr:from>
    <xdr:to>
      <xdr:col>42</xdr:col>
      <xdr:colOff>740833</xdr:colOff>
      <xdr:row>117</xdr:row>
      <xdr:rowOff>232832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2100-00000E000000}"/>
            </a:ext>
          </a:extLst>
        </xdr:cNvPr>
        <xdr:cNvGrpSpPr/>
      </xdr:nvGrpSpPr>
      <xdr:grpSpPr>
        <a:xfrm>
          <a:off x="30878729" y="15876323"/>
          <a:ext cx="2342354" cy="1013353"/>
          <a:chOff x="26562844" y="10606560"/>
          <a:chExt cx="2873509" cy="1147289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100-000009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2100-000006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247650</xdr:colOff>
          <xdr:row>1</xdr:row>
          <xdr:rowOff>28575</xdr:rowOff>
        </xdr:from>
        <xdr:to>
          <xdr:col>23</xdr:col>
          <xdr:colOff>1143000</xdr:colOff>
          <xdr:row>1</xdr:row>
          <xdr:rowOff>352425</xdr:rowOff>
        </xdr:to>
        <xdr:sp macro="" textlink="">
          <xdr:nvSpPr>
            <xdr:cNvPr id="3605538" name="Button 34" hidden="1">
              <a:extLst>
                <a:ext uri="{63B3BB69-23CF-44E3-9099-C40C66FF867C}">
                  <a14:compatExt spid="_x0000_s3605538"/>
                </a:ext>
                <a:ext uri="{FF2B5EF4-FFF2-40B4-BE49-F238E27FC236}">
                  <a16:creationId xmlns:a16="http://schemas.microsoft.com/office/drawing/2014/main" id="{00000000-0008-0000-2200-000022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Quotation List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238125</xdr:colOff>
          <xdr:row>1</xdr:row>
          <xdr:rowOff>457200</xdr:rowOff>
        </xdr:from>
        <xdr:to>
          <xdr:col>23</xdr:col>
          <xdr:colOff>1143000</xdr:colOff>
          <xdr:row>3</xdr:row>
          <xdr:rowOff>209550</xdr:rowOff>
        </xdr:to>
        <xdr:sp macro="" textlink="">
          <xdr:nvSpPr>
            <xdr:cNvPr id="3605539" name="Button 35" hidden="1">
              <a:extLst>
                <a:ext uri="{63B3BB69-23CF-44E3-9099-C40C66FF867C}">
                  <a14:compatExt spid="_x0000_s3605539"/>
                </a:ext>
                <a:ext uri="{FF2B5EF4-FFF2-40B4-BE49-F238E27FC236}">
                  <a16:creationId xmlns:a16="http://schemas.microsoft.com/office/drawing/2014/main" id="{00000000-0008-0000-2200-0000230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Quotation Detail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979884</xdr:colOff>
      <xdr:row>1</xdr:row>
      <xdr:rowOff>13638</xdr:rowOff>
    </xdr:from>
    <xdr:to>
      <xdr:col>21</xdr:col>
      <xdr:colOff>1360884</xdr:colOff>
      <xdr:row>1</xdr:row>
      <xdr:rowOff>375588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2100-000031000000}"/>
            </a:ext>
          </a:extLst>
        </xdr:cNvPr>
        <xdr:cNvGrpSpPr/>
      </xdr:nvGrpSpPr>
      <xdr:grpSpPr>
        <a:xfrm>
          <a:off x="18994040" y="120794"/>
          <a:ext cx="381000" cy="361950"/>
          <a:chOff x="17881347" y="124583"/>
          <a:chExt cx="381000" cy="361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45" name="Button 41" hidden="1">
                <a:extLst>
                  <a:ext uri="{63B3BB69-23CF-44E3-9099-C40C66FF867C}">
                    <a14:compatExt spid="_x0000_s3605545"/>
                  </a:ext>
                  <a:ext uri="{FF2B5EF4-FFF2-40B4-BE49-F238E27FC236}">
                    <a16:creationId xmlns:a16="http://schemas.microsoft.com/office/drawing/2014/main" id="{00000000-0008-0000-2200-000029043700}"/>
                  </a:ext>
                </a:extLst>
              </xdr:cNvPr>
              <xdr:cNvSpPr/>
            </xdr:nvSpPr>
            <xdr:spPr bwMode="auto">
              <a:xfrm>
                <a:off x="17881347" y="124583"/>
                <a:ext cx="38100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2100-000029000000}"/>
              </a:ext>
            </a:extLst>
          </xdr:cNvPr>
          <xdr:cNvGrpSpPr/>
        </xdr:nvGrpSpPr>
        <xdr:grpSpPr>
          <a:xfrm>
            <a:off x="17936323" y="191222"/>
            <a:ext cx="258469" cy="253480"/>
            <a:chOff x="23336235" y="2549425"/>
            <a:chExt cx="2865721" cy="2950510"/>
          </a:xfrm>
        </xdr:grpSpPr>
        <xdr:sp macro="[0]!copyPrintNoLetterHead" textlink="">
          <xdr:nvSpPr>
            <xdr:cNvPr id="38" name="Rectangle: Rounded Corners 37">
              <a:extLst>
                <a:ext uri="{FF2B5EF4-FFF2-40B4-BE49-F238E27FC236}">
                  <a16:creationId xmlns:a16="http://schemas.microsoft.com/office/drawing/2014/main" id="{00000000-0008-0000-2100-000026000000}"/>
                </a:ext>
              </a:extLst>
            </xdr:cNvPr>
            <xdr:cNvSpPr/>
          </xdr:nvSpPr>
          <xdr:spPr>
            <a:xfrm>
              <a:off x="23923341" y="2549425"/>
              <a:ext cx="2278615" cy="2677418"/>
            </a:xfrm>
            <a:prstGeom prst="roundRect">
              <a:avLst/>
            </a:prstGeom>
            <a:solidFill>
              <a:schemeClr val="bg1"/>
            </a:solidFill>
            <a:ln w="952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36" name="Group 35">
              <a:extLst>
                <a:ext uri="{FF2B5EF4-FFF2-40B4-BE49-F238E27FC236}">
                  <a16:creationId xmlns:a16="http://schemas.microsoft.com/office/drawing/2014/main" id="{00000000-0008-0000-2100-000024000000}"/>
                </a:ext>
              </a:extLst>
            </xdr:cNvPr>
            <xdr:cNvGrpSpPr/>
          </xdr:nvGrpSpPr>
          <xdr:grpSpPr>
            <a:xfrm>
              <a:off x="23336235" y="2758765"/>
              <a:ext cx="2648123" cy="2741170"/>
              <a:chOff x="23336235" y="2758765"/>
              <a:chExt cx="2648123" cy="2741170"/>
            </a:xfrm>
          </xdr:grpSpPr>
          <xdr:sp macro="[0]!copyPrintNoLetterHead" textlink="">
            <xdr:nvSpPr>
              <xdr:cNvPr id="33" name="Rectangle: Rounded Corners 32">
                <a:extLst>
                  <a:ext uri="{FF2B5EF4-FFF2-40B4-BE49-F238E27FC236}">
                    <a16:creationId xmlns:a16="http://schemas.microsoft.com/office/drawing/2014/main" id="{00000000-0008-0000-2100-000021000000}"/>
                  </a:ext>
                </a:extLst>
              </xdr:cNvPr>
              <xdr:cNvSpPr/>
            </xdr:nvSpPr>
            <xdr:spPr>
              <a:xfrm>
                <a:off x="23487730" y="2787551"/>
                <a:ext cx="2278615" cy="2677418"/>
              </a:xfrm>
              <a:prstGeom prst="roundRect">
                <a:avLst/>
              </a:prstGeom>
              <a:solidFill>
                <a:schemeClr val="bg1"/>
              </a:solidFill>
              <a:ln w="6350">
                <a:solidFill>
                  <a:srgbClr val="0070C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pic macro="[0]!copyPrintNoLetterHead">
            <xdr:nvPicPr>
              <xdr:cNvPr id="29" name="Graphic 28" descr="Document with solid fill">
                <a:extLst>
                  <a:ext uri="{FF2B5EF4-FFF2-40B4-BE49-F238E27FC236}">
                    <a16:creationId xmlns:a16="http://schemas.microsoft.com/office/drawing/2014/main" id="{00000000-0008-0000-2100-00001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23336235" y="2758765"/>
                <a:ext cx="2648123" cy="2741170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18</xdr:col>
      <xdr:colOff>45783</xdr:colOff>
      <xdr:row>1</xdr:row>
      <xdr:rowOff>1732</xdr:rowOff>
    </xdr:from>
    <xdr:to>
      <xdr:col>19</xdr:col>
      <xdr:colOff>273844</xdr:colOff>
      <xdr:row>1</xdr:row>
      <xdr:rowOff>363682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2100-000032000000}"/>
            </a:ext>
          </a:extLst>
        </xdr:cNvPr>
        <xdr:cNvGrpSpPr/>
      </xdr:nvGrpSpPr>
      <xdr:grpSpPr>
        <a:xfrm>
          <a:off x="16202564" y="108888"/>
          <a:ext cx="644780" cy="361950"/>
          <a:chOff x="15046565" y="124583"/>
          <a:chExt cx="380999" cy="361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605546" name="Button 42" hidden="1">
                <a:extLst>
                  <a:ext uri="{63B3BB69-23CF-44E3-9099-C40C66FF867C}">
                    <a14:compatExt spid="_x0000_s3605546"/>
                  </a:ext>
                  <a:ext uri="{FF2B5EF4-FFF2-40B4-BE49-F238E27FC236}">
                    <a16:creationId xmlns:a16="http://schemas.microsoft.com/office/drawing/2014/main" id="{00000000-0008-0000-2200-00002A043700}"/>
                  </a:ext>
                </a:extLst>
              </xdr:cNvPr>
              <xdr:cNvSpPr/>
            </xdr:nvSpPr>
            <xdr:spPr bwMode="auto">
              <a:xfrm>
                <a:off x="15046565" y="124583"/>
                <a:ext cx="380999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2100-00002C000000}"/>
              </a:ext>
            </a:extLst>
          </xdr:cNvPr>
          <xdr:cNvGrpSpPr/>
        </xdr:nvGrpSpPr>
        <xdr:grpSpPr>
          <a:xfrm>
            <a:off x="15098386" y="183104"/>
            <a:ext cx="259840" cy="253480"/>
            <a:chOff x="23336235" y="2549425"/>
            <a:chExt cx="2865721" cy="2950510"/>
          </a:xfrm>
        </xdr:grpSpPr>
        <xdr:sp macro="[0]!copyPrintLetterHead" textlink="">
          <xdr:nvSpPr>
            <xdr:cNvPr id="45" name="Rectangle: Rounded Corners 44">
              <a:extLst>
                <a:ext uri="{FF2B5EF4-FFF2-40B4-BE49-F238E27FC236}">
                  <a16:creationId xmlns:a16="http://schemas.microsoft.com/office/drawing/2014/main" id="{00000000-0008-0000-2100-00002D000000}"/>
                </a:ext>
              </a:extLst>
            </xdr:cNvPr>
            <xdr:cNvSpPr/>
          </xdr:nvSpPr>
          <xdr:spPr>
            <a:xfrm>
              <a:off x="23923341" y="2549425"/>
              <a:ext cx="2278615" cy="2677418"/>
            </a:xfrm>
            <a:prstGeom prst="roundRect">
              <a:avLst/>
            </a:prstGeom>
            <a:solidFill>
              <a:schemeClr val="bg1"/>
            </a:solidFill>
            <a:ln w="952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00000000-0008-0000-2100-00002E000000}"/>
                </a:ext>
              </a:extLst>
            </xdr:cNvPr>
            <xdr:cNvGrpSpPr/>
          </xdr:nvGrpSpPr>
          <xdr:grpSpPr>
            <a:xfrm>
              <a:off x="23336235" y="2758765"/>
              <a:ext cx="2648123" cy="2741170"/>
              <a:chOff x="23336235" y="2758765"/>
              <a:chExt cx="2648123" cy="2741170"/>
            </a:xfrm>
          </xdr:grpSpPr>
          <xdr:sp macro="[0]!copyPrintLetterHead" textlink="">
            <xdr:nvSpPr>
              <xdr:cNvPr id="47" name="Rectangle: Rounded Corners 46">
                <a:extLst>
                  <a:ext uri="{FF2B5EF4-FFF2-40B4-BE49-F238E27FC236}">
                    <a16:creationId xmlns:a16="http://schemas.microsoft.com/office/drawing/2014/main" id="{00000000-0008-0000-2100-00002F000000}"/>
                  </a:ext>
                </a:extLst>
              </xdr:cNvPr>
              <xdr:cNvSpPr/>
            </xdr:nvSpPr>
            <xdr:spPr>
              <a:xfrm>
                <a:off x="23487730" y="2787551"/>
                <a:ext cx="2278615" cy="2677418"/>
              </a:xfrm>
              <a:prstGeom prst="roundRect">
                <a:avLst/>
              </a:prstGeom>
              <a:solidFill>
                <a:schemeClr val="bg1"/>
              </a:solidFill>
              <a:ln w="6350">
                <a:solidFill>
                  <a:srgbClr val="0070C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pic macro="[0]!copyPrintLetterHead">
            <xdr:nvPicPr>
              <xdr:cNvPr id="48" name="Graphic 47" descr="Document with solid fill">
                <a:extLst>
                  <a:ext uri="{FF2B5EF4-FFF2-40B4-BE49-F238E27FC236}">
                    <a16:creationId xmlns:a16="http://schemas.microsoft.com/office/drawing/2014/main" id="{00000000-0008-0000-21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23336235" y="2758765"/>
                <a:ext cx="2648123" cy="2741170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55</xdr:col>
      <xdr:colOff>384973</xdr:colOff>
      <xdr:row>114</xdr:row>
      <xdr:rowOff>288399</xdr:rowOff>
    </xdr:from>
    <xdr:to>
      <xdr:col>60</xdr:col>
      <xdr:colOff>698502</xdr:colOff>
      <xdr:row>118</xdr:row>
      <xdr:rowOff>55565</xdr:rowOff>
    </xdr:to>
    <xdr:grpSp>
      <xdr:nvGrpSpPr>
        <xdr:cNvPr id="3627181" name="Group 3627180">
          <a:extLst>
            <a:ext uri="{FF2B5EF4-FFF2-40B4-BE49-F238E27FC236}">
              <a16:creationId xmlns:a16="http://schemas.microsoft.com/office/drawing/2014/main" id="{00000000-0008-0000-2100-0000AD583700}"/>
            </a:ext>
          </a:extLst>
        </xdr:cNvPr>
        <xdr:cNvGrpSpPr/>
      </xdr:nvGrpSpPr>
      <xdr:grpSpPr>
        <a:xfrm>
          <a:off x="39544629" y="16016555"/>
          <a:ext cx="2385217" cy="1005416"/>
          <a:chOff x="26562844" y="10606560"/>
          <a:chExt cx="2873509" cy="1147289"/>
        </a:xfrm>
      </xdr:grpSpPr>
      <xdr:sp macro="" textlink="">
        <xdr:nvSpPr>
          <xdr:cNvPr id="3627182" name="Rectangle: Rounded Corners 3627181">
            <a:extLst>
              <a:ext uri="{FF2B5EF4-FFF2-40B4-BE49-F238E27FC236}">
                <a16:creationId xmlns:a16="http://schemas.microsoft.com/office/drawing/2014/main" id="{00000000-0008-0000-2100-0000AE5837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3" name="Rectangle 3627182">
            <a:extLst>
              <a:ext uri="{FF2B5EF4-FFF2-40B4-BE49-F238E27FC236}">
                <a16:creationId xmlns:a16="http://schemas.microsoft.com/office/drawing/2014/main" id="{00000000-0008-0000-2100-0000AF5837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62</xdr:col>
      <xdr:colOff>103343</xdr:colOff>
      <xdr:row>115</xdr:row>
      <xdr:rowOff>105721</xdr:rowOff>
    </xdr:from>
    <xdr:to>
      <xdr:col>62</xdr:col>
      <xdr:colOff>982511</xdr:colOff>
      <xdr:row>118</xdr:row>
      <xdr:rowOff>56202</xdr:rowOff>
    </xdr:to>
    <xdr:grpSp>
      <xdr:nvGrpSpPr>
        <xdr:cNvPr id="3632549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2100-0000A56D3700}"/>
            </a:ext>
          </a:extLst>
        </xdr:cNvPr>
        <xdr:cNvGrpSpPr>
          <a:grpSpLocks noChangeAspect="1"/>
        </xdr:cNvGrpSpPr>
      </xdr:nvGrpSpPr>
      <xdr:grpSpPr>
        <a:xfrm>
          <a:off x="42299093" y="16143440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15" name="$BK$117">
            <a:extLst>
              <a:ext uri="{FF2B5EF4-FFF2-40B4-BE49-F238E27FC236}">
                <a16:creationId xmlns:a16="http://schemas.microsoft.com/office/drawing/2014/main" id="{00000000-0008-0000-2100-00000F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K$117">
            <a:extLst>
              <a:ext uri="{FF2B5EF4-FFF2-40B4-BE49-F238E27FC236}">
                <a16:creationId xmlns:a16="http://schemas.microsoft.com/office/drawing/2014/main" id="{00000000-0008-0000-2100-000012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K$117">
            <a:extLst>
              <a:ext uri="{FF2B5EF4-FFF2-40B4-BE49-F238E27FC236}">
                <a16:creationId xmlns:a16="http://schemas.microsoft.com/office/drawing/2014/main" id="{00000000-0008-0000-2100-000013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K$117">
            <a:extLst>
              <a:ext uri="{FF2B5EF4-FFF2-40B4-BE49-F238E27FC236}">
                <a16:creationId xmlns:a16="http://schemas.microsoft.com/office/drawing/2014/main" id="{00000000-0008-0000-2100-000014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$BK$117">
            <a:extLst>
              <a:ext uri="{FF2B5EF4-FFF2-40B4-BE49-F238E27FC236}">
                <a16:creationId xmlns:a16="http://schemas.microsoft.com/office/drawing/2014/main" id="{00000000-0008-0000-2100-000015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$BK$117">
            <a:extLst>
              <a:ext uri="{FF2B5EF4-FFF2-40B4-BE49-F238E27FC236}">
                <a16:creationId xmlns:a16="http://schemas.microsoft.com/office/drawing/2014/main" id="{00000000-0008-0000-2100-000016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K$117">
            <a:extLst>
              <a:ext uri="{FF2B5EF4-FFF2-40B4-BE49-F238E27FC236}">
                <a16:creationId xmlns:a16="http://schemas.microsoft.com/office/drawing/2014/main" id="{00000000-0008-0000-2100-000017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K$117">
            <a:extLst>
              <a:ext uri="{FF2B5EF4-FFF2-40B4-BE49-F238E27FC236}">
                <a16:creationId xmlns:a16="http://schemas.microsoft.com/office/drawing/2014/main" id="{00000000-0008-0000-2100-00001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K$117">
            <a:extLst>
              <a:ext uri="{FF2B5EF4-FFF2-40B4-BE49-F238E27FC236}">
                <a16:creationId xmlns:a16="http://schemas.microsoft.com/office/drawing/2014/main" id="{00000000-0008-0000-2100-00001C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K$117">
            <a:extLst>
              <a:ext uri="{FF2B5EF4-FFF2-40B4-BE49-F238E27FC236}">
                <a16:creationId xmlns:a16="http://schemas.microsoft.com/office/drawing/2014/main" id="{00000000-0008-0000-2100-00001E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K$117">
            <a:extLst>
              <a:ext uri="{FF2B5EF4-FFF2-40B4-BE49-F238E27FC236}">
                <a16:creationId xmlns:a16="http://schemas.microsoft.com/office/drawing/2014/main" id="{00000000-0008-0000-2100-00001F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$BK$117">
            <a:extLst>
              <a:ext uri="{FF2B5EF4-FFF2-40B4-BE49-F238E27FC236}">
                <a16:creationId xmlns:a16="http://schemas.microsoft.com/office/drawing/2014/main" id="{00000000-0008-0000-2100-000020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2100-000022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2100-000023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2100-000025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2100-000027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2100-000028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2100-00002A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2100-00002B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2100-000033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2100-000034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2100-000035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2100-000036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2100-000037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2100-000038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2100-000039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2100-00003A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2100-00003B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2100-00003C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2100-00003D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2100-00003E00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2100-00003F00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1" name="$BK$117">
            <a:extLst>
              <a:ext uri="{FF2B5EF4-FFF2-40B4-BE49-F238E27FC236}">
                <a16:creationId xmlns:a16="http://schemas.microsoft.com/office/drawing/2014/main" id="{00000000-0008-0000-2100-00006B6D3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2" name="$BK$117">
            <a:extLst>
              <a:ext uri="{FF2B5EF4-FFF2-40B4-BE49-F238E27FC236}">
                <a16:creationId xmlns:a16="http://schemas.microsoft.com/office/drawing/2014/main" id="{00000000-0008-0000-2100-00006C6D3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3" name="$BK$117">
            <a:extLst>
              <a:ext uri="{FF2B5EF4-FFF2-40B4-BE49-F238E27FC236}">
                <a16:creationId xmlns:a16="http://schemas.microsoft.com/office/drawing/2014/main" id="{00000000-0008-0000-2100-00006D6D3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4" name="$BK$117">
            <a:extLst>
              <a:ext uri="{FF2B5EF4-FFF2-40B4-BE49-F238E27FC236}">
                <a16:creationId xmlns:a16="http://schemas.microsoft.com/office/drawing/2014/main" id="{00000000-0008-0000-2100-00006E6D37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5" name="$BK$117">
            <a:extLst>
              <a:ext uri="{FF2B5EF4-FFF2-40B4-BE49-F238E27FC236}">
                <a16:creationId xmlns:a16="http://schemas.microsoft.com/office/drawing/2014/main" id="{00000000-0008-0000-2100-00006F6D37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6" name="$BK$117">
            <a:extLst>
              <a:ext uri="{FF2B5EF4-FFF2-40B4-BE49-F238E27FC236}">
                <a16:creationId xmlns:a16="http://schemas.microsoft.com/office/drawing/2014/main" id="{00000000-0008-0000-2100-0000706D37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7" name="$BK$117">
            <a:extLst>
              <a:ext uri="{FF2B5EF4-FFF2-40B4-BE49-F238E27FC236}">
                <a16:creationId xmlns:a16="http://schemas.microsoft.com/office/drawing/2014/main" id="{00000000-0008-0000-2100-0000716D3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8" name="$BK$117">
            <a:extLst>
              <a:ext uri="{FF2B5EF4-FFF2-40B4-BE49-F238E27FC236}">
                <a16:creationId xmlns:a16="http://schemas.microsoft.com/office/drawing/2014/main" id="{00000000-0008-0000-2100-0000726D37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499" name="$BK$117">
            <a:extLst>
              <a:ext uri="{FF2B5EF4-FFF2-40B4-BE49-F238E27FC236}">
                <a16:creationId xmlns:a16="http://schemas.microsoft.com/office/drawing/2014/main" id="{00000000-0008-0000-2100-0000736D37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0" name="$BK$117">
            <a:extLst>
              <a:ext uri="{FF2B5EF4-FFF2-40B4-BE49-F238E27FC236}">
                <a16:creationId xmlns:a16="http://schemas.microsoft.com/office/drawing/2014/main" id="{00000000-0008-0000-2100-0000746D37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1" name="$BK$117">
            <a:extLst>
              <a:ext uri="{FF2B5EF4-FFF2-40B4-BE49-F238E27FC236}">
                <a16:creationId xmlns:a16="http://schemas.microsoft.com/office/drawing/2014/main" id="{00000000-0008-0000-2100-0000756D37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2" name="$BK$117">
            <a:extLst>
              <a:ext uri="{FF2B5EF4-FFF2-40B4-BE49-F238E27FC236}">
                <a16:creationId xmlns:a16="http://schemas.microsoft.com/office/drawing/2014/main" id="{00000000-0008-0000-2100-0000766D37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3" name="$BK$117">
            <a:extLst>
              <a:ext uri="{FF2B5EF4-FFF2-40B4-BE49-F238E27FC236}">
                <a16:creationId xmlns:a16="http://schemas.microsoft.com/office/drawing/2014/main" id="{00000000-0008-0000-2100-0000776D3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4" name="$BK$117">
            <a:extLst>
              <a:ext uri="{FF2B5EF4-FFF2-40B4-BE49-F238E27FC236}">
                <a16:creationId xmlns:a16="http://schemas.microsoft.com/office/drawing/2014/main" id="{00000000-0008-0000-2100-0000786D3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5" name="$BK$117">
            <a:extLst>
              <a:ext uri="{FF2B5EF4-FFF2-40B4-BE49-F238E27FC236}">
                <a16:creationId xmlns:a16="http://schemas.microsoft.com/office/drawing/2014/main" id="{00000000-0008-0000-2100-0000796D3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6" name="$BK$117">
            <a:extLst>
              <a:ext uri="{FF2B5EF4-FFF2-40B4-BE49-F238E27FC236}">
                <a16:creationId xmlns:a16="http://schemas.microsoft.com/office/drawing/2014/main" id="{00000000-0008-0000-2100-00007A6D3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7" name="$BK$117">
            <a:extLst>
              <a:ext uri="{FF2B5EF4-FFF2-40B4-BE49-F238E27FC236}">
                <a16:creationId xmlns:a16="http://schemas.microsoft.com/office/drawing/2014/main" id="{00000000-0008-0000-2100-00007B6D3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8" name="$BK$117">
            <a:extLst>
              <a:ext uri="{FF2B5EF4-FFF2-40B4-BE49-F238E27FC236}">
                <a16:creationId xmlns:a16="http://schemas.microsoft.com/office/drawing/2014/main" id="{00000000-0008-0000-2100-00007C6D3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09" name="$BK$117">
            <a:extLst>
              <a:ext uri="{FF2B5EF4-FFF2-40B4-BE49-F238E27FC236}">
                <a16:creationId xmlns:a16="http://schemas.microsoft.com/office/drawing/2014/main" id="{00000000-0008-0000-2100-00007D6D37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0" name="$BK$117">
            <a:extLst>
              <a:ext uri="{FF2B5EF4-FFF2-40B4-BE49-F238E27FC236}">
                <a16:creationId xmlns:a16="http://schemas.microsoft.com/office/drawing/2014/main" id="{00000000-0008-0000-2100-00007E6D3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1" name="$BK$117">
            <a:extLst>
              <a:ext uri="{FF2B5EF4-FFF2-40B4-BE49-F238E27FC236}">
                <a16:creationId xmlns:a16="http://schemas.microsoft.com/office/drawing/2014/main" id="{00000000-0008-0000-2100-00007F6D3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36" name="$BK$117">
            <a:extLst>
              <a:ext uri="{FF2B5EF4-FFF2-40B4-BE49-F238E27FC236}">
                <a16:creationId xmlns:a16="http://schemas.microsoft.com/office/drawing/2014/main" id="{00000000-0008-0000-2100-0000805837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37" name="$BK$117">
            <a:extLst>
              <a:ext uri="{FF2B5EF4-FFF2-40B4-BE49-F238E27FC236}">
                <a16:creationId xmlns:a16="http://schemas.microsoft.com/office/drawing/2014/main" id="{00000000-0008-0000-2100-0000815837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38" name="$BK$117">
            <a:extLst>
              <a:ext uri="{FF2B5EF4-FFF2-40B4-BE49-F238E27FC236}">
                <a16:creationId xmlns:a16="http://schemas.microsoft.com/office/drawing/2014/main" id="{00000000-0008-0000-2100-0000825837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39" name="$BK$117">
            <a:extLst>
              <a:ext uri="{FF2B5EF4-FFF2-40B4-BE49-F238E27FC236}">
                <a16:creationId xmlns:a16="http://schemas.microsoft.com/office/drawing/2014/main" id="{00000000-0008-0000-2100-0000835837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0" name="$BK$117">
            <a:extLst>
              <a:ext uri="{FF2B5EF4-FFF2-40B4-BE49-F238E27FC236}">
                <a16:creationId xmlns:a16="http://schemas.microsoft.com/office/drawing/2014/main" id="{00000000-0008-0000-2100-0000845837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1" name="$BK$117">
            <a:extLst>
              <a:ext uri="{FF2B5EF4-FFF2-40B4-BE49-F238E27FC236}">
                <a16:creationId xmlns:a16="http://schemas.microsoft.com/office/drawing/2014/main" id="{00000000-0008-0000-2100-000085583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2" name="$BK$117">
            <a:extLst>
              <a:ext uri="{FF2B5EF4-FFF2-40B4-BE49-F238E27FC236}">
                <a16:creationId xmlns:a16="http://schemas.microsoft.com/office/drawing/2014/main" id="{00000000-0008-0000-2100-000086583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3" name="$BK$117">
            <a:extLst>
              <a:ext uri="{FF2B5EF4-FFF2-40B4-BE49-F238E27FC236}">
                <a16:creationId xmlns:a16="http://schemas.microsoft.com/office/drawing/2014/main" id="{00000000-0008-0000-2100-000087583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4" name="$BK$117">
            <a:extLst>
              <a:ext uri="{FF2B5EF4-FFF2-40B4-BE49-F238E27FC236}">
                <a16:creationId xmlns:a16="http://schemas.microsoft.com/office/drawing/2014/main" id="{00000000-0008-0000-2100-000088583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5" name="$BK$117">
            <a:extLst>
              <a:ext uri="{FF2B5EF4-FFF2-40B4-BE49-F238E27FC236}">
                <a16:creationId xmlns:a16="http://schemas.microsoft.com/office/drawing/2014/main" id="{00000000-0008-0000-2100-000089583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6" name="$BK$117">
            <a:extLst>
              <a:ext uri="{FF2B5EF4-FFF2-40B4-BE49-F238E27FC236}">
                <a16:creationId xmlns:a16="http://schemas.microsoft.com/office/drawing/2014/main" id="{00000000-0008-0000-2100-00008A5837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7" name="$BK$117">
            <a:extLst>
              <a:ext uri="{FF2B5EF4-FFF2-40B4-BE49-F238E27FC236}">
                <a16:creationId xmlns:a16="http://schemas.microsoft.com/office/drawing/2014/main" id="{00000000-0008-0000-2100-00008B583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8" name="$BK$117">
            <a:extLst>
              <a:ext uri="{FF2B5EF4-FFF2-40B4-BE49-F238E27FC236}">
                <a16:creationId xmlns:a16="http://schemas.microsoft.com/office/drawing/2014/main" id="{00000000-0008-0000-2100-00008C583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49" name="$BK$117">
            <a:extLst>
              <a:ext uri="{FF2B5EF4-FFF2-40B4-BE49-F238E27FC236}">
                <a16:creationId xmlns:a16="http://schemas.microsoft.com/office/drawing/2014/main" id="{00000000-0008-0000-2100-00008D5837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0" name="$BK$117">
            <a:extLst>
              <a:ext uri="{FF2B5EF4-FFF2-40B4-BE49-F238E27FC236}">
                <a16:creationId xmlns:a16="http://schemas.microsoft.com/office/drawing/2014/main" id="{00000000-0008-0000-2100-00008E583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1" name="$BK$117">
            <a:extLst>
              <a:ext uri="{FF2B5EF4-FFF2-40B4-BE49-F238E27FC236}">
                <a16:creationId xmlns:a16="http://schemas.microsoft.com/office/drawing/2014/main" id="{00000000-0008-0000-2100-00008F5837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2" name="$BK$117">
            <a:extLst>
              <a:ext uri="{FF2B5EF4-FFF2-40B4-BE49-F238E27FC236}">
                <a16:creationId xmlns:a16="http://schemas.microsoft.com/office/drawing/2014/main" id="{00000000-0008-0000-2100-000090583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3" name="$BK$117">
            <a:extLst>
              <a:ext uri="{FF2B5EF4-FFF2-40B4-BE49-F238E27FC236}">
                <a16:creationId xmlns:a16="http://schemas.microsoft.com/office/drawing/2014/main" id="{00000000-0008-0000-2100-0000915837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4" name="$BK$117">
            <a:extLst>
              <a:ext uri="{FF2B5EF4-FFF2-40B4-BE49-F238E27FC236}">
                <a16:creationId xmlns:a16="http://schemas.microsoft.com/office/drawing/2014/main" id="{00000000-0008-0000-2100-0000925837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5" name="$BK$117">
            <a:extLst>
              <a:ext uri="{FF2B5EF4-FFF2-40B4-BE49-F238E27FC236}">
                <a16:creationId xmlns:a16="http://schemas.microsoft.com/office/drawing/2014/main" id="{00000000-0008-0000-2100-0000935837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6" name="$BK$117">
            <a:extLst>
              <a:ext uri="{FF2B5EF4-FFF2-40B4-BE49-F238E27FC236}">
                <a16:creationId xmlns:a16="http://schemas.microsoft.com/office/drawing/2014/main" id="{00000000-0008-0000-2100-0000945837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7" name="$BK$117">
            <a:extLst>
              <a:ext uri="{FF2B5EF4-FFF2-40B4-BE49-F238E27FC236}">
                <a16:creationId xmlns:a16="http://schemas.microsoft.com/office/drawing/2014/main" id="{00000000-0008-0000-2100-0000955837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8" name="$BK$117">
            <a:extLst>
              <a:ext uri="{FF2B5EF4-FFF2-40B4-BE49-F238E27FC236}">
                <a16:creationId xmlns:a16="http://schemas.microsoft.com/office/drawing/2014/main" id="{00000000-0008-0000-2100-000096583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59" name="$BK$117">
            <a:extLst>
              <a:ext uri="{FF2B5EF4-FFF2-40B4-BE49-F238E27FC236}">
                <a16:creationId xmlns:a16="http://schemas.microsoft.com/office/drawing/2014/main" id="{00000000-0008-0000-2100-000097583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0" name="$BK$117">
            <a:extLst>
              <a:ext uri="{FF2B5EF4-FFF2-40B4-BE49-F238E27FC236}">
                <a16:creationId xmlns:a16="http://schemas.microsoft.com/office/drawing/2014/main" id="{00000000-0008-0000-2100-000098583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1" name="$BK$117">
            <a:extLst>
              <a:ext uri="{FF2B5EF4-FFF2-40B4-BE49-F238E27FC236}">
                <a16:creationId xmlns:a16="http://schemas.microsoft.com/office/drawing/2014/main" id="{00000000-0008-0000-2100-0000995837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2" name="$BK$117">
            <a:extLst>
              <a:ext uri="{FF2B5EF4-FFF2-40B4-BE49-F238E27FC236}">
                <a16:creationId xmlns:a16="http://schemas.microsoft.com/office/drawing/2014/main" id="{00000000-0008-0000-2100-00009A5837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3" name="$BK$117">
            <a:extLst>
              <a:ext uri="{FF2B5EF4-FFF2-40B4-BE49-F238E27FC236}">
                <a16:creationId xmlns:a16="http://schemas.microsoft.com/office/drawing/2014/main" id="{00000000-0008-0000-2100-00009B5837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4" name="$BK$117">
            <a:extLst>
              <a:ext uri="{FF2B5EF4-FFF2-40B4-BE49-F238E27FC236}">
                <a16:creationId xmlns:a16="http://schemas.microsoft.com/office/drawing/2014/main" id="{00000000-0008-0000-2100-00009C5837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5" name="$BK$117">
            <a:extLst>
              <a:ext uri="{FF2B5EF4-FFF2-40B4-BE49-F238E27FC236}">
                <a16:creationId xmlns:a16="http://schemas.microsoft.com/office/drawing/2014/main" id="{00000000-0008-0000-2100-00009D583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6" name="$BK$117">
            <a:extLst>
              <a:ext uri="{FF2B5EF4-FFF2-40B4-BE49-F238E27FC236}">
                <a16:creationId xmlns:a16="http://schemas.microsoft.com/office/drawing/2014/main" id="{00000000-0008-0000-2100-00009E583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7" name="$BK$117">
            <a:extLst>
              <a:ext uri="{FF2B5EF4-FFF2-40B4-BE49-F238E27FC236}">
                <a16:creationId xmlns:a16="http://schemas.microsoft.com/office/drawing/2014/main" id="{00000000-0008-0000-2100-00009F583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8" name="$BK$117">
            <a:extLst>
              <a:ext uri="{FF2B5EF4-FFF2-40B4-BE49-F238E27FC236}">
                <a16:creationId xmlns:a16="http://schemas.microsoft.com/office/drawing/2014/main" id="{00000000-0008-0000-2100-0000A0583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69" name="$BK$117">
            <a:extLst>
              <a:ext uri="{FF2B5EF4-FFF2-40B4-BE49-F238E27FC236}">
                <a16:creationId xmlns:a16="http://schemas.microsoft.com/office/drawing/2014/main" id="{00000000-0008-0000-2100-0000A1583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0" name="$BK$117">
            <a:extLst>
              <a:ext uri="{FF2B5EF4-FFF2-40B4-BE49-F238E27FC236}">
                <a16:creationId xmlns:a16="http://schemas.microsoft.com/office/drawing/2014/main" id="{00000000-0008-0000-2100-0000A2583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1" name="$BK$117">
            <a:extLst>
              <a:ext uri="{FF2B5EF4-FFF2-40B4-BE49-F238E27FC236}">
                <a16:creationId xmlns:a16="http://schemas.microsoft.com/office/drawing/2014/main" id="{00000000-0008-0000-2100-0000A3583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2" name="$BK$117">
            <a:extLst>
              <a:ext uri="{FF2B5EF4-FFF2-40B4-BE49-F238E27FC236}">
                <a16:creationId xmlns:a16="http://schemas.microsoft.com/office/drawing/2014/main" id="{00000000-0008-0000-2100-0000A4583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3" name="$BK$117">
            <a:extLst>
              <a:ext uri="{FF2B5EF4-FFF2-40B4-BE49-F238E27FC236}">
                <a16:creationId xmlns:a16="http://schemas.microsoft.com/office/drawing/2014/main" id="{00000000-0008-0000-2100-0000A5583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4" name="$BK$117">
            <a:extLst>
              <a:ext uri="{FF2B5EF4-FFF2-40B4-BE49-F238E27FC236}">
                <a16:creationId xmlns:a16="http://schemas.microsoft.com/office/drawing/2014/main" id="{00000000-0008-0000-2100-0000A6583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5" name="$BK$117">
            <a:extLst>
              <a:ext uri="{FF2B5EF4-FFF2-40B4-BE49-F238E27FC236}">
                <a16:creationId xmlns:a16="http://schemas.microsoft.com/office/drawing/2014/main" id="{00000000-0008-0000-2100-0000A7583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6" name="$BK$117">
            <a:extLst>
              <a:ext uri="{FF2B5EF4-FFF2-40B4-BE49-F238E27FC236}">
                <a16:creationId xmlns:a16="http://schemas.microsoft.com/office/drawing/2014/main" id="{00000000-0008-0000-2100-0000A8583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7" name="$BK$117">
            <a:extLst>
              <a:ext uri="{FF2B5EF4-FFF2-40B4-BE49-F238E27FC236}">
                <a16:creationId xmlns:a16="http://schemas.microsoft.com/office/drawing/2014/main" id="{00000000-0008-0000-2100-0000A9583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8" name="$BK$117">
            <a:extLst>
              <a:ext uri="{FF2B5EF4-FFF2-40B4-BE49-F238E27FC236}">
                <a16:creationId xmlns:a16="http://schemas.microsoft.com/office/drawing/2014/main" id="{00000000-0008-0000-2100-0000AA583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79" name="$BK$117">
            <a:extLst>
              <a:ext uri="{FF2B5EF4-FFF2-40B4-BE49-F238E27FC236}">
                <a16:creationId xmlns:a16="http://schemas.microsoft.com/office/drawing/2014/main" id="{00000000-0008-0000-2100-0000AB5837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0" name="$BK$117">
            <a:extLst>
              <a:ext uri="{FF2B5EF4-FFF2-40B4-BE49-F238E27FC236}">
                <a16:creationId xmlns:a16="http://schemas.microsoft.com/office/drawing/2014/main" id="{00000000-0008-0000-2100-0000AC5837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4" name="$BK$117">
            <a:extLst>
              <a:ext uri="{FF2B5EF4-FFF2-40B4-BE49-F238E27FC236}">
                <a16:creationId xmlns:a16="http://schemas.microsoft.com/office/drawing/2014/main" id="{00000000-0008-0000-2100-0000B05837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5" name="$BK$117">
            <a:extLst>
              <a:ext uri="{FF2B5EF4-FFF2-40B4-BE49-F238E27FC236}">
                <a16:creationId xmlns:a16="http://schemas.microsoft.com/office/drawing/2014/main" id="{00000000-0008-0000-2100-0000B15837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6" name="$BK$117">
            <a:extLst>
              <a:ext uri="{FF2B5EF4-FFF2-40B4-BE49-F238E27FC236}">
                <a16:creationId xmlns:a16="http://schemas.microsoft.com/office/drawing/2014/main" id="{00000000-0008-0000-2100-0000B25837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7" name="$BK$117">
            <a:extLst>
              <a:ext uri="{FF2B5EF4-FFF2-40B4-BE49-F238E27FC236}">
                <a16:creationId xmlns:a16="http://schemas.microsoft.com/office/drawing/2014/main" id="{00000000-0008-0000-2100-0000B35837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8" name="$BK$117">
            <a:extLst>
              <a:ext uri="{FF2B5EF4-FFF2-40B4-BE49-F238E27FC236}">
                <a16:creationId xmlns:a16="http://schemas.microsoft.com/office/drawing/2014/main" id="{00000000-0008-0000-2100-0000B45837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89" name="$BK$117">
            <a:extLst>
              <a:ext uri="{FF2B5EF4-FFF2-40B4-BE49-F238E27FC236}">
                <a16:creationId xmlns:a16="http://schemas.microsoft.com/office/drawing/2014/main" id="{00000000-0008-0000-2100-0000B5583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0" name="$BK$117">
            <a:extLst>
              <a:ext uri="{FF2B5EF4-FFF2-40B4-BE49-F238E27FC236}">
                <a16:creationId xmlns:a16="http://schemas.microsoft.com/office/drawing/2014/main" id="{00000000-0008-0000-2100-0000B65837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1" name="$BK$117">
            <a:extLst>
              <a:ext uri="{FF2B5EF4-FFF2-40B4-BE49-F238E27FC236}">
                <a16:creationId xmlns:a16="http://schemas.microsoft.com/office/drawing/2014/main" id="{00000000-0008-0000-2100-0000B7583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2" name="$BK$117">
            <a:extLst>
              <a:ext uri="{FF2B5EF4-FFF2-40B4-BE49-F238E27FC236}">
                <a16:creationId xmlns:a16="http://schemas.microsoft.com/office/drawing/2014/main" id="{00000000-0008-0000-2100-0000B85837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3" name="$BK$117">
            <a:extLst>
              <a:ext uri="{FF2B5EF4-FFF2-40B4-BE49-F238E27FC236}">
                <a16:creationId xmlns:a16="http://schemas.microsoft.com/office/drawing/2014/main" id="{00000000-0008-0000-2100-0000B95837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4" name="$BK$117">
            <a:extLst>
              <a:ext uri="{FF2B5EF4-FFF2-40B4-BE49-F238E27FC236}">
                <a16:creationId xmlns:a16="http://schemas.microsoft.com/office/drawing/2014/main" id="{00000000-0008-0000-2100-0000BA5837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5" name="$BK$117">
            <a:extLst>
              <a:ext uri="{FF2B5EF4-FFF2-40B4-BE49-F238E27FC236}">
                <a16:creationId xmlns:a16="http://schemas.microsoft.com/office/drawing/2014/main" id="{00000000-0008-0000-2100-0000BB5837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6" name="$BK$117">
            <a:extLst>
              <a:ext uri="{FF2B5EF4-FFF2-40B4-BE49-F238E27FC236}">
                <a16:creationId xmlns:a16="http://schemas.microsoft.com/office/drawing/2014/main" id="{00000000-0008-0000-2100-0000BC583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7" name="$BK$117">
            <a:extLst>
              <a:ext uri="{FF2B5EF4-FFF2-40B4-BE49-F238E27FC236}">
                <a16:creationId xmlns:a16="http://schemas.microsoft.com/office/drawing/2014/main" id="{00000000-0008-0000-2100-0000BD5837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8" name="$BK$117">
            <a:extLst>
              <a:ext uri="{FF2B5EF4-FFF2-40B4-BE49-F238E27FC236}">
                <a16:creationId xmlns:a16="http://schemas.microsoft.com/office/drawing/2014/main" id="{00000000-0008-0000-2100-0000BE583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7199" name="$BK$117">
            <a:extLst>
              <a:ext uri="{FF2B5EF4-FFF2-40B4-BE49-F238E27FC236}">
                <a16:creationId xmlns:a16="http://schemas.microsoft.com/office/drawing/2014/main" id="{00000000-0008-0000-2100-0000BF5837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4" name="$BK$117">
            <a:extLst>
              <a:ext uri="{FF2B5EF4-FFF2-40B4-BE49-F238E27FC236}">
                <a16:creationId xmlns:a16="http://schemas.microsoft.com/office/drawing/2014/main" id="{00000000-0008-0000-2100-000000093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5" name="$BK$117">
            <a:extLst>
              <a:ext uri="{FF2B5EF4-FFF2-40B4-BE49-F238E27FC236}">
                <a16:creationId xmlns:a16="http://schemas.microsoft.com/office/drawing/2014/main" id="{00000000-0008-0000-2100-000001093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6" name="$BK$117">
            <a:extLst>
              <a:ext uri="{FF2B5EF4-FFF2-40B4-BE49-F238E27FC236}">
                <a16:creationId xmlns:a16="http://schemas.microsoft.com/office/drawing/2014/main" id="{00000000-0008-0000-2100-000002093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7" name="$BK$117">
            <a:extLst>
              <a:ext uri="{FF2B5EF4-FFF2-40B4-BE49-F238E27FC236}">
                <a16:creationId xmlns:a16="http://schemas.microsoft.com/office/drawing/2014/main" id="{00000000-0008-0000-2100-0000030937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8" name="$BK$117">
            <a:extLst>
              <a:ext uri="{FF2B5EF4-FFF2-40B4-BE49-F238E27FC236}">
                <a16:creationId xmlns:a16="http://schemas.microsoft.com/office/drawing/2014/main" id="{00000000-0008-0000-2100-000004093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89" name="$BK$117">
            <a:extLst>
              <a:ext uri="{FF2B5EF4-FFF2-40B4-BE49-F238E27FC236}">
                <a16:creationId xmlns:a16="http://schemas.microsoft.com/office/drawing/2014/main" id="{00000000-0008-0000-2100-000005093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0" name="$BK$117">
            <a:extLst>
              <a:ext uri="{FF2B5EF4-FFF2-40B4-BE49-F238E27FC236}">
                <a16:creationId xmlns:a16="http://schemas.microsoft.com/office/drawing/2014/main" id="{00000000-0008-0000-2100-0000060937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1" name="$BK$117">
            <a:extLst>
              <a:ext uri="{FF2B5EF4-FFF2-40B4-BE49-F238E27FC236}">
                <a16:creationId xmlns:a16="http://schemas.microsoft.com/office/drawing/2014/main" id="{00000000-0008-0000-2100-0000070937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2" name="$BK$117">
            <a:extLst>
              <a:ext uri="{FF2B5EF4-FFF2-40B4-BE49-F238E27FC236}">
                <a16:creationId xmlns:a16="http://schemas.microsoft.com/office/drawing/2014/main" id="{00000000-0008-0000-2100-0000080937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3" name="$BK$117">
            <a:extLst>
              <a:ext uri="{FF2B5EF4-FFF2-40B4-BE49-F238E27FC236}">
                <a16:creationId xmlns:a16="http://schemas.microsoft.com/office/drawing/2014/main" id="{00000000-0008-0000-2100-0000090937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4" name="$BK$117">
            <a:extLst>
              <a:ext uri="{FF2B5EF4-FFF2-40B4-BE49-F238E27FC236}">
                <a16:creationId xmlns:a16="http://schemas.microsoft.com/office/drawing/2014/main" id="{00000000-0008-0000-2100-00000A093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5" name="$BK$117">
            <a:extLst>
              <a:ext uri="{FF2B5EF4-FFF2-40B4-BE49-F238E27FC236}">
                <a16:creationId xmlns:a16="http://schemas.microsoft.com/office/drawing/2014/main" id="{00000000-0008-0000-2100-00000B0937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6" name="$BK$117">
            <a:extLst>
              <a:ext uri="{FF2B5EF4-FFF2-40B4-BE49-F238E27FC236}">
                <a16:creationId xmlns:a16="http://schemas.microsoft.com/office/drawing/2014/main" id="{00000000-0008-0000-2100-00000C0937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7" name="$BK$117">
            <a:extLst>
              <a:ext uri="{FF2B5EF4-FFF2-40B4-BE49-F238E27FC236}">
                <a16:creationId xmlns:a16="http://schemas.microsoft.com/office/drawing/2014/main" id="{00000000-0008-0000-2100-00000D0937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8" name="$BK$117">
            <a:extLst>
              <a:ext uri="{FF2B5EF4-FFF2-40B4-BE49-F238E27FC236}">
                <a16:creationId xmlns:a16="http://schemas.microsoft.com/office/drawing/2014/main" id="{00000000-0008-0000-2100-00000E0937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799" name="$BK$117">
            <a:extLst>
              <a:ext uri="{FF2B5EF4-FFF2-40B4-BE49-F238E27FC236}">
                <a16:creationId xmlns:a16="http://schemas.microsoft.com/office/drawing/2014/main" id="{00000000-0008-0000-2100-00000F093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0" name="$BK$117">
            <a:extLst>
              <a:ext uri="{FF2B5EF4-FFF2-40B4-BE49-F238E27FC236}">
                <a16:creationId xmlns:a16="http://schemas.microsoft.com/office/drawing/2014/main" id="{00000000-0008-0000-2100-000010093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1" name="$BK$117">
            <a:extLst>
              <a:ext uri="{FF2B5EF4-FFF2-40B4-BE49-F238E27FC236}">
                <a16:creationId xmlns:a16="http://schemas.microsoft.com/office/drawing/2014/main" id="{00000000-0008-0000-2100-000011093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2" name="$BK$117">
            <a:extLst>
              <a:ext uri="{FF2B5EF4-FFF2-40B4-BE49-F238E27FC236}">
                <a16:creationId xmlns:a16="http://schemas.microsoft.com/office/drawing/2014/main" id="{00000000-0008-0000-2100-0000120937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3" name="$BK$117">
            <a:extLst>
              <a:ext uri="{FF2B5EF4-FFF2-40B4-BE49-F238E27FC236}">
                <a16:creationId xmlns:a16="http://schemas.microsoft.com/office/drawing/2014/main" id="{00000000-0008-0000-2100-0000130937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4" name="$BK$117">
            <a:extLst>
              <a:ext uri="{FF2B5EF4-FFF2-40B4-BE49-F238E27FC236}">
                <a16:creationId xmlns:a16="http://schemas.microsoft.com/office/drawing/2014/main" id="{00000000-0008-0000-2100-0000140937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5" name="$BK$117">
            <a:extLst>
              <a:ext uri="{FF2B5EF4-FFF2-40B4-BE49-F238E27FC236}">
                <a16:creationId xmlns:a16="http://schemas.microsoft.com/office/drawing/2014/main" id="{00000000-0008-0000-2100-0000150937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6" name="$BK$117">
            <a:extLst>
              <a:ext uri="{FF2B5EF4-FFF2-40B4-BE49-F238E27FC236}">
                <a16:creationId xmlns:a16="http://schemas.microsoft.com/office/drawing/2014/main" id="{00000000-0008-0000-2100-000016093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7" name="$BK$117">
            <a:extLst>
              <a:ext uri="{FF2B5EF4-FFF2-40B4-BE49-F238E27FC236}">
                <a16:creationId xmlns:a16="http://schemas.microsoft.com/office/drawing/2014/main" id="{00000000-0008-0000-2100-000017093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8" name="$BK$117">
            <a:extLst>
              <a:ext uri="{FF2B5EF4-FFF2-40B4-BE49-F238E27FC236}">
                <a16:creationId xmlns:a16="http://schemas.microsoft.com/office/drawing/2014/main" id="{00000000-0008-0000-2100-000018093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09" name="$BK$117">
            <a:extLst>
              <a:ext uri="{FF2B5EF4-FFF2-40B4-BE49-F238E27FC236}">
                <a16:creationId xmlns:a16="http://schemas.microsoft.com/office/drawing/2014/main" id="{00000000-0008-0000-2100-000019093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0" name="$BK$117">
            <a:extLst>
              <a:ext uri="{FF2B5EF4-FFF2-40B4-BE49-F238E27FC236}">
                <a16:creationId xmlns:a16="http://schemas.microsoft.com/office/drawing/2014/main" id="{00000000-0008-0000-2100-00001A093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1" name="$BK$117">
            <a:extLst>
              <a:ext uri="{FF2B5EF4-FFF2-40B4-BE49-F238E27FC236}">
                <a16:creationId xmlns:a16="http://schemas.microsoft.com/office/drawing/2014/main" id="{00000000-0008-0000-2100-00001B0937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2" name="$BK$117">
            <a:extLst>
              <a:ext uri="{FF2B5EF4-FFF2-40B4-BE49-F238E27FC236}">
                <a16:creationId xmlns:a16="http://schemas.microsoft.com/office/drawing/2014/main" id="{00000000-0008-0000-2100-00001C093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3" name="$BK$117">
            <a:extLst>
              <a:ext uri="{FF2B5EF4-FFF2-40B4-BE49-F238E27FC236}">
                <a16:creationId xmlns:a16="http://schemas.microsoft.com/office/drawing/2014/main" id="{00000000-0008-0000-2100-00001D0937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4" name="$BK$117">
            <a:extLst>
              <a:ext uri="{FF2B5EF4-FFF2-40B4-BE49-F238E27FC236}">
                <a16:creationId xmlns:a16="http://schemas.microsoft.com/office/drawing/2014/main" id="{00000000-0008-0000-2100-00001E0937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5" name="$BK$117">
            <a:extLst>
              <a:ext uri="{FF2B5EF4-FFF2-40B4-BE49-F238E27FC236}">
                <a16:creationId xmlns:a16="http://schemas.microsoft.com/office/drawing/2014/main" id="{00000000-0008-0000-2100-00001F0937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6" name="$BK$117">
            <a:extLst>
              <a:ext uri="{FF2B5EF4-FFF2-40B4-BE49-F238E27FC236}">
                <a16:creationId xmlns:a16="http://schemas.microsoft.com/office/drawing/2014/main" id="{00000000-0008-0000-2100-0000200937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7" name="$BK$117">
            <a:extLst>
              <a:ext uri="{FF2B5EF4-FFF2-40B4-BE49-F238E27FC236}">
                <a16:creationId xmlns:a16="http://schemas.microsoft.com/office/drawing/2014/main" id="{00000000-0008-0000-2100-0000210937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8" name="$BK$117">
            <a:extLst>
              <a:ext uri="{FF2B5EF4-FFF2-40B4-BE49-F238E27FC236}">
                <a16:creationId xmlns:a16="http://schemas.microsoft.com/office/drawing/2014/main" id="{00000000-0008-0000-2100-0000220937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19" name="$BK$117">
            <a:extLst>
              <a:ext uri="{FF2B5EF4-FFF2-40B4-BE49-F238E27FC236}">
                <a16:creationId xmlns:a16="http://schemas.microsoft.com/office/drawing/2014/main" id="{00000000-0008-0000-2100-0000230937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0" name="$BK$117">
            <a:extLst>
              <a:ext uri="{FF2B5EF4-FFF2-40B4-BE49-F238E27FC236}">
                <a16:creationId xmlns:a16="http://schemas.microsoft.com/office/drawing/2014/main" id="{00000000-0008-0000-2100-0000240937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1" name="$BK$117">
            <a:extLst>
              <a:ext uri="{FF2B5EF4-FFF2-40B4-BE49-F238E27FC236}">
                <a16:creationId xmlns:a16="http://schemas.microsoft.com/office/drawing/2014/main" id="{00000000-0008-0000-2100-0000250937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2" name="$BK$117">
            <a:extLst>
              <a:ext uri="{FF2B5EF4-FFF2-40B4-BE49-F238E27FC236}">
                <a16:creationId xmlns:a16="http://schemas.microsoft.com/office/drawing/2014/main" id="{00000000-0008-0000-2100-0000260937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3" name="$BK$117">
            <a:extLst>
              <a:ext uri="{FF2B5EF4-FFF2-40B4-BE49-F238E27FC236}">
                <a16:creationId xmlns:a16="http://schemas.microsoft.com/office/drawing/2014/main" id="{00000000-0008-0000-2100-000027093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4" name="$BK$117">
            <a:extLst>
              <a:ext uri="{FF2B5EF4-FFF2-40B4-BE49-F238E27FC236}">
                <a16:creationId xmlns:a16="http://schemas.microsoft.com/office/drawing/2014/main" id="{00000000-0008-0000-2100-0000280937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5" name="$BK$117">
            <a:extLst>
              <a:ext uri="{FF2B5EF4-FFF2-40B4-BE49-F238E27FC236}">
                <a16:creationId xmlns:a16="http://schemas.microsoft.com/office/drawing/2014/main" id="{00000000-0008-0000-2100-0000290937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6" name="$BK$117">
            <a:extLst>
              <a:ext uri="{FF2B5EF4-FFF2-40B4-BE49-F238E27FC236}">
                <a16:creationId xmlns:a16="http://schemas.microsoft.com/office/drawing/2014/main" id="{00000000-0008-0000-2100-00002A0937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7" name="$BK$117">
            <a:extLst>
              <a:ext uri="{FF2B5EF4-FFF2-40B4-BE49-F238E27FC236}">
                <a16:creationId xmlns:a16="http://schemas.microsoft.com/office/drawing/2014/main" id="{00000000-0008-0000-2100-00002B0937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8" name="$BK$117">
            <a:extLst>
              <a:ext uri="{FF2B5EF4-FFF2-40B4-BE49-F238E27FC236}">
                <a16:creationId xmlns:a16="http://schemas.microsoft.com/office/drawing/2014/main" id="{00000000-0008-0000-2100-00002C093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29" name="$BK$117">
            <a:extLst>
              <a:ext uri="{FF2B5EF4-FFF2-40B4-BE49-F238E27FC236}">
                <a16:creationId xmlns:a16="http://schemas.microsoft.com/office/drawing/2014/main" id="{00000000-0008-0000-2100-00002D0937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30" name="$BK$117">
            <a:extLst>
              <a:ext uri="{FF2B5EF4-FFF2-40B4-BE49-F238E27FC236}">
                <a16:creationId xmlns:a16="http://schemas.microsoft.com/office/drawing/2014/main" id="{00000000-0008-0000-2100-00002E093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31" name="$BK$117">
            <a:extLst>
              <a:ext uri="{FF2B5EF4-FFF2-40B4-BE49-F238E27FC236}">
                <a16:creationId xmlns:a16="http://schemas.microsoft.com/office/drawing/2014/main" id="{00000000-0008-0000-2100-00002F0937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33" name="$BK$117">
            <a:extLst>
              <a:ext uri="{FF2B5EF4-FFF2-40B4-BE49-F238E27FC236}">
                <a16:creationId xmlns:a16="http://schemas.microsoft.com/office/drawing/2014/main" id="{00000000-0008-0000-2100-0000310937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36" name="$BK$117">
            <a:extLst>
              <a:ext uri="{FF2B5EF4-FFF2-40B4-BE49-F238E27FC236}">
                <a16:creationId xmlns:a16="http://schemas.microsoft.com/office/drawing/2014/main" id="{00000000-0008-0000-2100-0000340937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39" name="$BK$117">
            <a:extLst>
              <a:ext uri="{FF2B5EF4-FFF2-40B4-BE49-F238E27FC236}">
                <a16:creationId xmlns:a16="http://schemas.microsoft.com/office/drawing/2014/main" id="{00000000-0008-0000-2100-000037093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0" name="$BK$117">
            <a:extLst>
              <a:ext uri="{FF2B5EF4-FFF2-40B4-BE49-F238E27FC236}">
                <a16:creationId xmlns:a16="http://schemas.microsoft.com/office/drawing/2014/main" id="{00000000-0008-0000-2100-0000380937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1" name="$BK$117">
            <a:extLst>
              <a:ext uri="{FF2B5EF4-FFF2-40B4-BE49-F238E27FC236}">
                <a16:creationId xmlns:a16="http://schemas.microsoft.com/office/drawing/2014/main" id="{00000000-0008-0000-2100-000039093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2" name="$BK$117">
            <a:extLst>
              <a:ext uri="{FF2B5EF4-FFF2-40B4-BE49-F238E27FC236}">
                <a16:creationId xmlns:a16="http://schemas.microsoft.com/office/drawing/2014/main" id="{00000000-0008-0000-2100-00003A0937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3" name="$BK$117">
            <a:extLst>
              <a:ext uri="{FF2B5EF4-FFF2-40B4-BE49-F238E27FC236}">
                <a16:creationId xmlns:a16="http://schemas.microsoft.com/office/drawing/2014/main" id="{00000000-0008-0000-2100-00003B093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4" name="$BK$117">
            <a:extLst>
              <a:ext uri="{FF2B5EF4-FFF2-40B4-BE49-F238E27FC236}">
                <a16:creationId xmlns:a16="http://schemas.microsoft.com/office/drawing/2014/main" id="{00000000-0008-0000-2100-00003C0937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5" name="$BK$117">
            <a:extLst>
              <a:ext uri="{FF2B5EF4-FFF2-40B4-BE49-F238E27FC236}">
                <a16:creationId xmlns:a16="http://schemas.microsoft.com/office/drawing/2014/main" id="{00000000-0008-0000-2100-00003D093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6" name="$BK$117">
            <a:extLst>
              <a:ext uri="{FF2B5EF4-FFF2-40B4-BE49-F238E27FC236}">
                <a16:creationId xmlns:a16="http://schemas.microsoft.com/office/drawing/2014/main" id="{00000000-0008-0000-2100-00003E0937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6847" name="$BK$117">
            <a:extLst>
              <a:ext uri="{FF2B5EF4-FFF2-40B4-BE49-F238E27FC236}">
                <a16:creationId xmlns:a16="http://schemas.microsoft.com/office/drawing/2014/main" id="{00000000-0008-0000-2100-00003F0937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04" name="$BK$117">
            <a:extLst>
              <a:ext uri="{FF2B5EF4-FFF2-40B4-BE49-F238E27FC236}">
                <a16:creationId xmlns:a16="http://schemas.microsoft.com/office/drawing/2014/main" id="{00000000-0008-0000-2100-000000043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07" name="$BK$117">
            <a:extLst>
              <a:ext uri="{FF2B5EF4-FFF2-40B4-BE49-F238E27FC236}">
                <a16:creationId xmlns:a16="http://schemas.microsoft.com/office/drawing/2014/main" id="{00000000-0008-0000-2100-0000030437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09" name="$BK$117">
            <a:extLst>
              <a:ext uri="{FF2B5EF4-FFF2-40B4-BE49-F238E27FC236}">
                <a16:creationId xmlns:a16="http://schemas.microsoft.com/office/drawing/2014/main" id="{00000000-0008-0000-2100-0000050437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0" name="$BK$117">
            <a:extLst>
              <a:ext uri="{FF2B5EF4-FFF2-40B4-BE49-F238E27FC236}">
                <a16:creationId xmlns:a16="http://schemas.microsoft.com/office/drawing/2014/main" id="{00000000-0008-0000-2100-0000060437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2" name="$BK$117">
            <a:extLst>
              <a:ext uri="{FF2B5EF4-FFF2-40B4-BE49-F238E27FC236}">
                <a16:creationId xmlns:a16="http://schemas.microsoft.com/office/drawing/2014/main" id="{00000000-0008-0000-2100-0000080437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6" name="$BK$117">
            <a:extLst>
              <a:ext uri="{FF2B5EF4-FFF2-40B4-BE49-F238E27FC236}">
                <a16:creationId xmlns:a16="http://schemas.microsoft.com/office/drawing/2014/main" id="{00000000-0008-0000-2100-00000C0437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7" name="$BK$117">
            <a:extLst>
              <a:ext uri="{FF2B5EF4-FFF2-40B4-BE49-F238E27FC236}">
                <a16:creationId xmlns:a16="http://schemas.microsoft.com/office/drawing/2014/main" id="{00000000-0008-0000-2100-00000D0437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8" name="$BK$117">
            <a:extLst>
              <a:ext uri="{FF2B5EF4-FFF2-40B4-BE49-F238E27FC236}">
                <a16:creationId xmlns:a16="http://schemas.microsoft.com/office/drawing/2014/main" id="{00000000-0008-0000-2100-00000E043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19" name="$BK$117">
            <a:extLst>
              <a:ext uri="{FF2B5EF4-FFF2-40B4-BE49-F238E27FC236}">
                <a16:creationId xmlns:a16="http://schemas.microsoft.com/office/drawing/2014/main" id="{00000000-0008-0000-2100-00000F0437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0" name="$BK$117">
            <a:extLst>
              <a:ext uri="{FF2B5EF4-FFF2-40B4-BE49-F238E27FC236}">
                <a16:creationId xmlns:a16="http://schemas.microsoft.com/office/drawing/2014/main" id="{00000000-0008-0000-2100-000010043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1" name="$BK$117">
            <a:extLst>
              <a:ext uri="{FF2B5EF4-FFF2-40B4-BE49-F238E27FC236}">
                <a16:creationId xmlns:a16="http://schemas.microsoft.com/office/drawing/2014/main" id="{00000000-0008-0000-2100-0000110437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2" name="$BK$117">
            <a:extLst>
              <a:ext uri="{FF2B5EF4-FFF2-40B4-BE49-F238E27FC236}">
                <a16:creationId xmlns:a16="http://schemas.microsoft.com/office/drawing/2014/main" id="{00000000-0008-0000-2100-000012043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5" name="$BK$117">
            <a:extLst>
              <a:ext uri="{FF2B5EF4-FFF2-40B4-BE49-F238E27FC236}">
                <a16:creationId xmlns:a16="http://schemas.microsoft.com/office/drawing/2014/main" id="{00000000-0008-0000-2100-000015043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6" name="$BK$117">
            <a:extLst>
              <a:ext uri="{FF2B5EF4-FFF2-40B4-BE49-F238E27FC236}">
                <a16:creationId xmlns:a16="http://schemas.microsoft.com/office/drawing/2014/main" id="{00000000-0008-0000-2100-000016043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29" name="$BK$117">
            <a:extLst>
              <a:ext uri="{FF2B5EF4-FFF2-40B4-BE49-F238E27FC236}">
                <a16:creationId xmlns:a16="http://schemas.microsoft.com/office/drawing/2014/main" id="{00000000-0008-0000-2100-000019043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31" name="$BK$117">
            <a:extLst>
              <a:ext uri="{FF2B5EF4-FFF2-40B4-BE49-F238E27FC236}">
                <a16:creationId xmlns:a16="http://schemas.microsoft.com/office/drawing/2014/main" id="{00000000-0008-0000-2100-00001B0437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32" name="$BK$117">
            <a:extLst>
              <a:ext uri="{FF2B5EF4-FFF2-40B4-BE49-F238E27FC236}">
                <a16:creationId xmlns:a16="http://schemas.microsoft.com/office/drawing/2014/main" id="{00000000-0008-0000-2100-00001C0437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33" name="$BK$117">
            <a:extLst>
              <a:ext uri="{FF2B5EF4-FFF2-40B4-BE49-F238E27FC236}">
                <a16:creationId xmlns:a16="http://schemas.microsoft.com/office/drawing/2014/main" id="{00000000-0008-0000-2100-00001D0437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37" name="$BK$117">
            <a:extLst>
              <a:ext uri="{FF2B5EF4-FFF2-40B4-BE49-F238E27FC236}">
                <a16:creationId xmlns:a16="http://schemas.microsoft.com/office/drawing/2014/main" id="{00000000-0008-0000-2100-000021043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0" name="$BK$117">
            <a:extLst>
              <a:ext uri="{FF2B5EF4-FFF2-40B4-BE49-F238E27FC236}">
                <a16:creationId xmlns:a16="http://schemas.microsoft.com/office/drawing/2014/main" id="{00000000-0008-0000-2100-000024043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1" name="$BK$117">
            <a:extLst>
              <a:ext uri="{FF2B5EF4-FFF2-40B4-BE49-F238E27FC236}">
                <a16:creationId xmlns:a16="http://schemas.microsoft.com/office/drawing/2014/main" id="{00000000-0008-0000-2100-000025043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2" name="$BK$117">
            <a:extLst>
              <a:ext uri="{FF2B5EF4-FFF2-40B4-BE49-F238E27FC236}">
                <a16:creationId xmlns:a16="http://schemas.microsoft.com/office/drawing/2014/main" id="{00000000-0008-0000-2100-0000260437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3" name="$BK$117">
            <a:extLst>
              <a:ext uri="{FF2B5EF4-FFF2-40B4-BE49-F238E27FC236}">
                <a16:creationId xmlns:a16="http://schemas.microsoft.com/office/drawing/2014/main" id="{00000000-0008-0000-2100-0000270437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4" name="$BK$117">
            <a:extLst>
              <a:ext uri="{FF2B5EF4-FFF2-40B4-BE49-F238E27FC236}">
                <a16:creationId xmlns:a16="http://schemas.microsoft.com/office/drawing/2014/main" id="{00000000-0008-0000-2100-0000280437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7" name="$BK$117">
            <a:extLst>
              <a:ext uri="{FF2B5EF4-FFF2-40B4-BE49-F238E27FC236}">
                <a16:creationId xmlns:a16="http://schemas.microsoft.com/office/drawing/2014/main" id="{00000000-0008-0000-2100-00002B043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8" name="$BK$117">
            <a:extLst>
              <a:ext uri="{FF2B5EF4-FFF2-40B4-BE49-F238E27FC236}">
                <a16:creationId xmlns:a16="http://schemas.microsoft.com/office/drawing/2014/main" id="{00000000-0008-0000-2100-00002C0437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49" name="$BK$117">
            <a:extLst>
              <a:ext uri="{FF2B5EF4-FFF2-40B4-BE49-F238E27FC236}">
                <a16:creationId xmlns:a16="http://schemas.microsoft.com/office/drawing/2014/main" id="{00000000-0008-0000-2100-00002D043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0" name="$BK$117">
            <a:extLst>
              <a:ext uri="{FF2B5EF4-FFF2-40B4-BE49-F238E27FC236}">
                <a16:creationId xmlns:a16="http://schemas.microsoft.com/office/drawing/2014/main" id="{00000000-0008-0000-2100-00002E043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1" name="$BK$117">
            <a:extLst>
              <a:ext uri="{FF2B5EF4-FFF2-40B4-BE49-F238E27FC236}">
                <a16:creationId xmlns:a16="http://schemas.microsoft.com/office/drawing/2014/main" id="{00000000-0008-0000-2100-00002F0437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2" name="$BK$117">
            <a:extLst>
              <a:ext uri="{FF2B5EF4-FFF2-40B4-BE49-F238E27FC236}">
                <a16:creationId xmlns:a16="http://schemas.microsoft.com/office/drawing/2014/main" id="{00000000-0008-0000-2100-0000300437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3" name="$BK$117">
            <a:extLst>
              <a:ext uri="{FF2B5EF4-FFF2-40B4-BE49-F238E27FC236}">
                <a16:creationId xmlns:a16="http://schemas.microsoft.com/office/drawing/2014/main" id="{00000000-0008-0000-2100-0000310437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4" name="$BK$117">
            <a:extLst>
              <a:ext uri="{FF2B5EF4-FFF2-40B4-BE49-F238E27FC236}">
                <a16:creationId xmlns:a16="http://schemas.microsoft.com/office/drawing/2014/main" id="{00000000-0008-0000-2100-0000320437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5" name="$BK$117">
            <a:extLst>
              <a:ext uri="{FF2B5EF4-FFF2-40B4-BE49-F238E27FC236}">
                <a16:creationId xmlns:a16="http://schemas.microsoft.com/office/drawing/2014/main" id="{00000000-0008-0000-2100-0000330437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6" name="$BK$117">
            <a:extLst>
              <a:ext uri="{FF2B5EF4-FFF2-40B4-BE49-F238E27FC236}">
                <a16:creationId xmlns:a16="http://schemas.microsoft.com/office/drawing/2014/main" id="{00000000-0008-0000-2100-0000340437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7" name="$BK$117">
            <a:extLst>
              <a:ext uri="{FF2B5EF4-FFF2-40B4-BE49-F238E27FC236}">
                <a16:creationId xmlns:a16="http://schemas.microsoft.com/office/drawing/2014/main" id="{00000000-0008-0000-2100-0000350437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8" name="$BK$117">
            <a:extLst>
              <a:ext uri="{FF2B5EF4-FFF2-40B4-BE49-F238E27FC236}">
                <a16:creationId xmlns:a16="http://schemas.microsoft.com/office/drawing/2014/main" id="{00000000-0008-0000-2100-0000360437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59" name="$BK$117">
            <a:extLst>
              <a:ext uri="{FF2B5EF4-FFF2-40B4-BE49-F238E27FC236}">
                <a16:creationId xmlns:a16="http://schemas.microsoft.com/office/drawing/2014/main" id="{00000000-0008-0000-2100-0000370437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0" name="$BK$117">
            <a:extLst>
              <a:ext uri="{FF2B5EF4-FFF2-40B4-BE49-F238E27FC236}">
                <a16:creationId xmlns:a16="http://schemas.microsoft.com/office/drawing/2014/main" id="{00000000-0008-0000-2100-0000380437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1" name="$BK$117">
            <a:extLst>
              <a:ext uri="{FF2B5EF4-FFF2-40B4-BE49-F238E27FC236}">
                <a16:creationId xmlns:a16="http://schemas.microsoft.com/office/drawing/2014/main" id="{00000000-0008-0000-2100-0000390437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2" name="$BK$117">
            <a:extLst>
              <a:ext uri="{FF2B5EF4-FFF2-40B4-BE49-F238E27FC236}">
                <a16:creationId xmlns:a16="http://schemas.microsoft.com/office/drawing/2014/main" id="{00000000-0008-0000-2100-00003A0437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3" name="$BK$117">
            <a:extLst>
              <a:ext uri="{FF2B5EF4-FFF2-40B4-BE49-F238E27FC236}">
                <a16:creationId xmlns:a16="http://schemas.microsoft.com/office/drawing/2014/main" id="{00000000-0008-0000-2100-00003B0437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4" name="$BK$117">
            <a:extLst>
              <a:ext uri="{FF2B5EF4-FFF2-40B4-BE49-F238E27FC236}">
                <a16:creationId xmlns:a16="http://schemas.microsoft.com/office/drawing/2014/main" id="{00000000-0008-0000-2100-00003C043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5" name="$BK$117">
            <a:extLst>
              <a:ext uri="{FF2B5EF4-FFF2-40B4-BE49-F238E27FC236}">
                <a16:creationId xmlns:a16="http://schemas.microsoft.com/office/drawing/2014/main" id="{00000000-0008-0000-2100-00003D0437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6" name="$BK$117">
            <a:extLst>
              <a:ext uri="{FF2B5EF4-FFF2-40B4-BE49-F238E27FC236}">
                <a16:creationId xmlns:a16="http://schemas.microsoft.com/office/drawing/2014/main" id="{00000000-0008-0000-2100-00003E0437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567" name="$BK$117">
            <a:extLst>
              <a:ext uri="{FF2B5EF4-FFF2-40B4-BE49-F238E27FC236}">
                <a16:creationId xmlns:a16="http://schemas.microsoft.com/office/drawing/2014/main" id="{00000000-0008-0000-2100-00003F0437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696" name="$BK$117">
            <a:extLst>
              <a:ext uri="{FF2B5EF4-FFF2-40B4-BE49-F238E27FC236}">
                <a16:creationId xmlns:a16="http://schemas.microsoft.com/office/drawing/2014/main" id="{00000000-0008-0000-2100-0000C00437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697" name="$BK$117">
            <a:extLst>
              <a:ext uri="{FF2B5EF4-FFF2-40B4-BE49-F238E27FC236}">
                <a16:creationId xmlns:a16="http://schemas.microsoft.com/office/drawing/2014/main" id="{00000000-0008-0000-2100-0000C10437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698" name="$BK$117">
            <a:extLst>
              <a:ext uri="{FF2B5EF4-FFF2-40B4-BE49-F238E27FC236}">
                <a16:creationId xmlns:a16="http://schemas.microsoft.com/office/drawing/2014/main" id="{00000000-0008-0000-2100-0000C2043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699" name="$BK$117">
            <a:extLst>
              <a:ext uri="{FF2B5EF4-FFF2-40B4-BE49-F238E27FC236}">
                <a16:creationId xmlns:a16="http://schemas.microsoft.com/office/drawing/2014/main" id="{00000000-0008-0000-2100-0000C30437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00" name="$BK$117">
            <a:extLst>
              <a:ext uri="{FF2B5EF4-FFF2-40B4-BE49-F238E27FC236}">
                <a16:creationId xmlns:a16="http://schemas.microsoft.com/office/drawing/2014/main" id="{00000000-0008-0000-2100-0000C4043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01" name="$BK$117">
            <a:extLst>
              <a:ext uri="{FF2B5EF4-FFF2-40B4-BE49-F238E27FC236}">
                <a16:creationId xmlns:a16="http://schemas.microsoft.com/office/drawing/2014/main" id="{00000000-0008-0000-2100-0000C5043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02" name="$BK$117">
            <a:extLst>
              <a:ext uri="{FF2B5EF4-FFF2-40B4-BE49-F238E27FC236}">
                <a16:creationId xmlns:a16="http://schemas.microsoft.com/office/drawing/2014/main" id="{00000000-0008-0000-2100-0000C60437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09" name="$BK$117">
            <a:extLst>
              <a:ext uri="{FF2B5EF4-FFF2-40B4-BE49-F238E27FC236}">
                <a16:creationId xmlns:a16="http://schemas.microsoft.com/office/drawing/2014/main" id="{00000000-0008-0000-2100-0000CD043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3" name="$BK$117">
            <a:extLst>
              <a:ext uri="{FF2B5EF4-FFF2-40B4-BE49-F238E27FC236}">
                <a16:creationId xmlns:a16="http://schemas.microsoft.com/office/drawing/2014/main" id="{00000000-0008-0000-2100-0000D1043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5" name="$BK$117">
            <a:extLst>
              <a:ext uri="{FF2B5EF4-FFF2-40B4-BE49-F238E27FC236}">
                <a16:creationId xmlns:a16="http://schemas.microsoft.com/office/drawing/2014/main" id="{00000000-0008-0000-2100-0000D3043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6" name="$BK$117">
            <a:extLst>
              <a:ext uri="{FF2B5EF4-FFF2-40B4-BE49-F238E27FC236}">
                <a16:creationId xmlns:a16="http://schemas.microsoft.com/office/drawing/2014/main" id="{00000000-0008-0000-2100-0000D40437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7" name="$BK$117">
            <a:extLst>
              <a:ext uri="{FF2B5EF4-FFF2-40B4-BE49-F238E27FC236}">
                <a16:creationId xmlns:a16="http://schemas.microsoft.com/office/drawing/2014/main" id="{00000000-0008-0000-2100-0000D50437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8" name="$BK$117">
            <a:extLst>
              <a:ext uri="{FF2B5EF4-FFF2-40B4-BE49-F238E27FC236}">
                <a16:creationId xmlns:a16="http://schemas.microsoft.com/office/drawing/2014/main" id="{00000000-0008-0000-2100-0000D60437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19" name="$BK$117">
            <a:extLst>
              <a:ext uri="{FF2B5EF4-FFF2-40B4-BE49-F238E27FC236}">
                <a16:creationId xmlns:a16="http://schemas.microsoft.com/office/drawing/2014/main" id="{00000000-0008-0000-2100-0000D70437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0" name="$BK$117">
            <a:extLst>
              <a:ext uri="{FF2B5EF4-FFF2-40B4-BE49-F238E27FC236}">
                <a16:creationId xmlns:a16="http://schemas.microsoft.com/office/drawing/2014/main" id="{00000000-0008-0000-2100-0000D80437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1" name="$BK$117">
            <a:extLst>
              <a:ext uri="{FF2B5EF4-FFF2-40B4-BE49-F238E27FC236}">
                <a16:creationId xmlns:a16="http://schemas.microsoft.com/office/drawing/2014/main" id="{00000000-0008-0000-2100-0000D90437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2" name="$BK$117">
            <a:extLst>
              <a:ext uri="{FF2B5EF4-FFF2-40B4-BE49-F238E27FC236}">
                <a16:creationId xmlns:a16="http://schemas.microsoft.com/office/drawing/2014/main" id="{00000000-0008-0000-2100-0000DA0437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3" name="$BK$117">
            <a:extLst>
              <a:ext uri="{FF2B5EF4-FFF2-40B4-BE49-F238E27FC236}">
                <a16:creationId xmlns:a16="http://schemas.microsoft.com/office/drawing/2014/main" id="{00000000-0008-0000-2100-0000DB0437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4" name="$BK$117">
            <a:extLst>
              <a:ext uri="{FF2B5EF4-FFF2-40B4-BE49-F238E27FC236}">
                <a16:creationId xmlns:a16="http://schemas.microsoft.com/office/drawing/2014/main" id="{00000000-0008-0000-2100-0000DC043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5" name="$BK$117">
            <a:extLst>
              <a:ext uri="{FF2B5EF4-FFF2-40B4-BE49-F238E27FC236}">
                <a16:creationId xmlns:a16="http://schemas.microsoft.com/office/drawing/2014/main" id="{00000000-0008-0000-2100-0000DD0437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6" name="$BK$117">
            <a:extLst>
              <a:ext uri="{FF2B5EF4-FFF2-40B4-BE49-F238E27FC236}">
                <a16:creationId xmlns:a16="http://schemas.microsoft.com/office/drawing/2014/main" id="{00000000-0008-0000-2100-0000DE0437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7" name="$BK$117">
            <a:extLst>
              <a:ext uri="{FF2B5EF4-FFF2-40B4-BE49-F238E27FC236}">
                <a16:creationId xmlns:a16="http://schemas.microsoft.com/office/drawing/2014/main" id="{00000000-0008-0000-2100-0000DF043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8" name="$BK$117">
            <a:extLst>
              <a:ext uri="{FF2B5EF4-FFF2-40B4-BE49-F238E27FC236}">
                <a16:creationId xmlns:a16="http://schemas.microsoft.com/office/drawing/2014/main" id="{00000000-0008-0000-2100-0000E00437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29" name="$BK$117">
            <a:extLst>
              <a:ext uri="{FF2B5EF4-FFF2-40B4-BE49-F238E27FC236}">
                <a16:creationId xmlns:a16="http://schemas.microsoft.com/office/drawing/2014/main" id="{00000000-0008-0000-2100-0000E10437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0" name="$BK$117">
            <a:extLst>
              <a:ext uri="{FF2B5EF4-FFF2-40B4-BE49-F238E27FC236}">
                <a16:creationId xmlns:a16="http://schemas.microsoft.com/office/drawing/2014/main" id="{00000000-0008-0000-2100-0000E2043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1" name="$BK$117">
            <a:extLst>
              <a:ext uri="{FF2B5EF4-FFF2-40B4-BE49-F238E27FC236}">
                <a16:creationId xmlns:a16="http://schemas.microsoft.com/office/drawing/2014/main" id="{00000000-0008-0000-2100-0000E30437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2" name="$BK$117">
            <a:extLst>
              <a:ext uri="{FF2B5EF4-FFF2-40B4-BE49-F238E27FC236}">
                <a16:creationId xmlns:a16="http://schemas.microsoft.com/office/drawing/2014/main" id="{00000000-0008-0000-2100-0000E4043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3" name="$BK$117">
            <a:extLst>
              <a:ext uri="{FF2B5EF4-FFF2-40B4-BE49-F238E27FC236}">
                <a16:creationId xmlns:a16="http://schemas.microsoft.com/office/drawing/2014/main" id="{00000000-0008-0000-2100-0000E5043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4" name="$BK$117">
            <a:extLst>
              <a:ext uri="{FF2B5EF4-FFF2-40B4-BE49-F238E27FC236}">
                <a16:creationId xmlns:a16="http://schemas.microsoft.com/office/drawing/2014/main" id="{00000000-0008-0000-2100-0000E60437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5" name="$BK$117">
            <a:extLst>
              <a:ext uri="{FF2B5EF4-FFF2-40B4-BE49-F238E27FC236}">
                <a16:creationId xmlns:a16="http://schemas.microsoft.com/office/drawing/2014/main" id="{00000000-0008-0000-2100-0000E70437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6" name="$BK$117">
            <a:extLst>
              <a:ext uri="{FF2B5EF4-FFF2-40B4-BE49-F238E27FC236}">
                <a16:creationId xmlns:a16="http://schemas.microsoft.com/office/drawing/2014/main" id="{00000000-0008-0000-2100-0000E80437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7" name="$BK$117">
            <a:extLst>
              <a:ext uri="{FF2B5EF4-FFF2-40B4-BE49-F238E27FC236}">
                <a16:creationId xmlns:a16="http://schemas.microsoft.com/office/drawing/2014/main" id="{00000000-0008-0000-2100-0000E90437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8" name="$BK$117">
            <a:extLst>
              <a:ext uri="{FF2B5EF4-FFF2-40B4-BE49-F238E27FC236}">
                <a16:creationId xmlns:a16="http://schemas.microsoft.com/office/drawing/2014/main" id="{00000000-0008-0000-2100-0000EA0437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39" name="$BK$117">
            <a:extLst>
              <a:ext uri="{FF2B5EF4-FFF2-40B4-BE49-F238E27FC236}">
                <a16:creationId xmlns:a16="http://schemas.microsoft.com/office/drawing/2014/main" id="{00000000-0008-0000-2100-0000EB0437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0" name="$BK$117">
            <a:extLst>
              <a:ext uri="{FF2B5EF4-FFF2-40B4-BE49-F238E27FC236}">
                <a16:creationId xmlns:a16="http://schemas.microsoft.com/office/drawing/2014/main" id="{00000000-0008-0000-2100-0000EC0437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1" name="$BK$117">
            <a:extLst>
              <a:ext uri="{FF2B5EF4-FFF2-40B4-BE49-F238E27FC236}">
                <a16:creationId xmlns:a16="http://schemas.microsoft.com/office/drawing/2014/main" id="{00000000-0008-0000-2100-0000ED043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2" name="$BK$117">
            <a:extLst>
              <a:ext uri="{FF2B5EF4-FFF2-40B4-BE49-F238E27FC236}">
                <a16:creationId xmlns:a16="http://schemas.microsoft.com/office/drawing/2014/main" id="{00000000-0008-0000-2100-0000EE043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3" name="$BK$117">
            <a:extLst>
              <a:ext uri="{FF2B5EF4-FFF2-40B4-BE49-F238E27FC236}">
                <a16:creationId xmlns:a16="http://schemas.microsoft.com/office/drawing/2014/main" id="{00000000-0008-0000-2100-0000EF043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4" name="$BK$117">
            <a:extLst>
              <a:ext uri="{FF2B5EF4-FFF2-40B4-BE49-F238E27FC236}">
                <a16:creationId xmlns:a16="http://schemas.microsoft.com/office/drawing/2014/main" id="{00000000-0008-0000-2100-0000F0043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5" name="$BK$117">
            <a:extLst>
              <a:ext uri="{FF2B5EF4-FFF2-40B4-BE49-F238E27FC236}">
                <a16:creationId xmlns:a16="http://schemas.microsoft.com/office/drawing/2014/main" id="{00000000-0008-0000-2100-0000F1043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6" name="$BK$117">
            <a:extLst>
              <a:ext uri="{FF2B5EF4-FFF2-40B4-BE49-F238E27FC236}">
                <a16:creationId xmlns:a16="http://schemas.microsoft.com/office/drawing/2014/main" id="{00000000-0008-0000-2100-0000F2043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7" name="$BK$117">
            <a:extLst>
              <a:ext uri="{FF2B5EF4-FFF2-40B4-BE49-F238E27FC236}">
                <a16:creationId xmlns:a16="http://schemas.microsoft.com/office/drawing/2014/main" id="{00000000-0008-0000-2100-0000F3043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8" name="$BK$117">
            <a:extLst>
              <a:ext uri="{FF2B5EF4-FFF2-40B4-BE49-F238E27FC236}">
                <a16:creationId xmlns:a16="http://schemas.microsoft.com/office/drawing/2014/main" id="{00000000-0008-0000-2100-0000F40437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49" name="$BK$117">
            <a:extLst>
              <a:ext uri="{FF2B5EF4-FFF2-40B4-BE49-F238E27FC236}">
                <a16:creationId xmlns:a16="http://schemas.microsoft.com/office/drawing/2014/main" id="{00000000-0008-0000-2100-0000F5043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0" name="$BK$117">
            <a:extLst>
              <a:ext uri="{FF2B5EF4-FFF2-40B4-BE49-F238E27FC236}">
                <a16:creationId xmlns:a16="http://schemas.microsoft.com/office/drawing/2014/main" id="{00000000-0008-0000-2100-0000F60437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1" name="$BK$117">
            <a:extLst>
              <a:ext uri="{FF2B5EF4-FFF2-40B4-BE49-F238E27FC236}">
                <a16:creationId xmlns:a16="http://schemas.microsoft.com/office/drawing/2014/main" id="{00000000-0008-0000-2100-0000F70437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2" name="$BK$117">
            <a:extLst>
              <a:ext uri="{FF2B5EF4-FFF2-40B4-BE49-F238E27FC236}">
                <a16:creationId xmlns:a16="http://schemas.microsoft.com/office/drawing/2014/main" id="{00000000-0008-0000-2100-0000F80437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3" name="$BK$117">
            <a:extLst>
              <a:ext uri="{FF2B5EF4-FFF2-40B4-BE49-F238E27FC236}">
                <a16:creationId xmlns:a16="http://schemas.microsoft.com/office/drawing/2014/main" id="{00000000-0008-0000-2100-0000F90437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4" name="$BK$117">
            <a:extLst>
              <a:ext uri="{FF2B5EF4-FFF2-40B4-BE49-F238E27FC236}">
                <a16:creationId xmlns:a16="http://schemas.microsoft.com/office/drawing/2014/main" id="{00000000-0008-0000-2100-0000FA0437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5" name="$BK$117">
            <a:extLst>
              <a:ext uri="{FF2B5EF4-FFF2-40B4-BE49-F238E27FC236}">
                <a16:creationId xmlns:a16="http://schemas.microsoft.com/office/drawing/2014/main" id="{00000000-0008-0000-2100-0000FB0437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6" name="$BK$117">
            <a:extLst>
              <a:ext uri="{FF2B5EF4-FFF2-40B4-BE49-F238E27FC236}">
                <a16:creationId xmlns:a16="http://schemas.microsoft.com/office/drawing/2014/main" id="{00000000-0008-0000-2100-0000FC0437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7" name="$BK$117">
            <a:extLst>
              <a:ext uri="{FF2B5EF4-FFF2-40B4-BE49-F238E27FC236}">
                <a16:creationId xmlns:a16="http://schemas.microsoft.com/office/drawing/2014/main" id="{00000000-0008-0000-2100-0000FD0437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8" name="$BK$117">
            <a:extLst>
              <a:ext uri="{FF2B5EF4-FFF2-40B4-BE49-F238E27FC236}">
                <a16:creationId xmlns:a16="http://schemas.microsoft.com/office/drawing/2014/main" id="{00000000-0008-0000-2100-0000FE0437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759" name="$BK$117">
            <a:extLst>
              <a:ext uri="{FF2B5EF4-FFF2-40B4-BE49-F238E27FC236}">
                <a16:creationId xmlns:a16="http://schemas.microsoft.com/office/drawing/2014/main" id="{00000000-0008-0000-2100-0000FF043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88" name="$BK$117">
            <a:extLst>
              <a:ext uri="{FF2B5EF4-FFF2-40B4-BE49-F238E27FC236}">
                <a16:creationId xmlns:a16="http://schemas.microsoft.com/office/drawing/2014/main" id="{00000000-0008-0000-2100-000080053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89" name="$BK$117">
            <a:extLst>
              <a:ext uri="{FF2B5EF4-FFF2-40B4-BE49-F238E27FC236}">
                <a16:creationId xmlns:a16="http://schemas.microsoft.com/office/drawing/2014/main" id="{00000000-0008-0000-2100-000081053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0" name="$BK$117">
            <a:extLst>
              <a:ext uri="{FF2B5EF4-FFF2-40B4-BE49-F238E27FC236}">
                <a16:creationId xmlns:a16="http://schemas.microsoft.com/office/drawing/2014/main" id="{00000000-0008-0000-2100-000082053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1" name="$BK$117">
            <a:extLst>
              <a:ext uri="{FF2B5EF4-FFF2-40B4-BE49-F238E27FC236}">
                <a16:creationId xmlns:a16="http://schemas.microsoft.com/office/drawing/2014/main" id="{00000000-0008-0000-2100-0000830537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2" name="$BK$117">
            <a:extLst>
              <a:ext uri="{FF2B5EF4-FFF2-40B4-BE49-F238E27FC236}">
                <a16:creationId xmlns:a16="http://schemas.microsoft.com/office/drawing/2014/main" id="{00000000-0008-0000-2100-0000840537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3" name="$BK$117">
            <a:extLst>
              <a:ext uri="{FF2B5EF4-FFF2-40B4-BE49-F238E27FC236}">
                <a16:creationId xmlns:a16="http://schemas.microsoft.com/office/drawing/2014/main" id="{00000000-0008-0000-2100-0000850537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4" name="$BK$117">
            <a:extLst>
              <a:ext uri="{FF2B5EF4-FFF2-40B4-BE49-F238E27FC236}">
                <a16:creationId xmlns:a16="http://schemas.microsoft.com/office/drawing/2014/main" id="{00000000-0008-0000-2100-0000860537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5" name="$BK$117">
            <a:extLst>
              <a:ext uri="{FF2B5EF4-FFF2-40B4-BE49-F238E27FC236}">
                <a16:creationId xmlns:a16="http://schemas.microsoft.com/office/drawing/2014/main" id="{00000000-0008-0000-2100-0000870537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6" name="$BK$117">
            <a:extLst>
              <a:ext uri="{FF2B5EF4-FFF2-40B4-BE49-F238E27FC236}">
                <a16:creationId xmlns:a16="http://schemas.microsoft.com/office/drawing/2014/main" id="{00000000-0008-0000-2100-000088053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7" name="$BK$117">
            <a:extLst>
              <a:ext uri="{FF2B5EF4-FFF2-40B4-BE49-F238E27FC236}">
                <a16:creationId xmlns:a16="http://schemas.microsoft.com/office/drawing/2014/main" id="{00000000-0008-0000-2100-000089053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8" name="$BK$117">
            <a:extLst>
              <a:ext uri="{FF2B5EF4-FFF2-40B4-BE49-F238E27FC236}">
                <a16:creationId xmlns:a16="http://schemas.microsoft.com/office/drawing/2014/main" id="{00000000-0008-0000-2100-00008A053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899" name="$BK$117">
            <a:extLst>
              <a:ext uri="{FF2B5EF4-FFF2-40B4-BE49-F238E27FC236}">
                <a16:creationId xmlns:a16="http://schemas.microsoft.com/office/drawing/2014/main" id="{00000000-0008-0000-2100-00008B053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0" name="$BK$117">
            <a:extLst>
              <a:ext uri="{FF2B5EF4-FFF2-40B4-BE49-F238E27FC236}">
                <a16:creationId xmlns:a16="http://schemas.microsoft.com/office/drawing/2014/main" id="{00000000-0008-0000-2100-00008C053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1" name="$BK$117">
            <a:extLst>
              <a:ext uri="{FF2B5EF4-FFF2-40B4-BE49-F238E27FC236}">
                <a16:creationId xmlns:a16="http://schemas.microsoft.com/office/drawing/2014/main" id="{00000000-0008-0000-2100-00008D053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2" name="$BK$117">
            <a:extLst>
              <a:ext uri="{FF2B5EF4-FFF2-40B4-BE49-F238E27FC236}">
                <a16:creationId xmlns:a16="http://schemas.microsoft.com/office/drawing/2014/main" id="{00000000-0008-0000-2100-00008E0537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3" name="$BK$117">
            <a:extLst>
              <a:ext uri="{FF2B5EF4-FFF2-40B4-BE49-F238E27FC236}">
                <a16:creationId xmlns:a16="http://schemas.microsoft.com/office/drawing/2014/main" id="{00000000-0008-0000-2100-00008F0537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4" name="$BK$117">
            <a:extLst>
              <a:ext uri="{FF2B5EF4-FFF2-40B4-BE49-F238E27FC236}">
                <a16:creationId xmlns:a16="http://schemas.microsoft.com/office/drawing/2014/main" id="{00000000-0008-0000-2100-0000900537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5" name="$BK$117">
            <a:extLst>
              <a:ext uri="{FF2B5EF4-FFF2-40B4-BE49-F238E27FC236}">
                <a16:creationId xmlns:a16="http://schemas.microsoft.com/office/drawing/2014/main" id="{00000000-0008-0000-2100-0000910537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6" name="$BK$117">
            <a:extLst>
              <a:ext uri="{FF2B5EF4-FFF2-40B4-BE49-F238E27FC236}">
                <a16:creationId xmlns:a16="http://schemas.microsoft.com/office/drawing/2014/main" id="{00000000-0008-0000-2100-0000920537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7" name="$BK$117">
            <a:extLst>
              <a:ext uri="{FF2B5EF4-FFF2-40B4-BE49-F238E27FC236}">
                <a16:creationId xmlns:a16="http://schemas.microsoft.com/office/drawing/2014/main" id="{00000000-0008-0000-2100-0000930537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8" name="$BK$117">
            <a:extLst>
              <a:ext uri="{FF2B5EF4-FFF2-40B4-BE49-F238E27FC236}">
                <a16:creationId xmlns:a16="http://schemas.microsoft.com/office/drawing/2014/main" id="{00000000-0008-0000-2100-0000940537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09" name="$BK$117">
            <a:extLst>
              <a:ext uri="{FF2B5EF4-FFF2-40B4-BE49-F238E27FC236}">
                <a16:creationId xmlns:a16="http://schemas.microsoft.com/office/drawing/2014/main" id="{00000000-0008-0000-2100-0000950537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0" name="$BK$117">
            <a:extLst>
              <a:ext uri="{FF2B5EF4-FFF2-40B4-BE49-F238E27FC236}">
                <a16:creationId xmlns:a16="http://schemas.microsoft.com/office/drawing/2014/main" id="{00000000-0008-0000-2100-0000960537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1" name="$BK$117">
            <a:extLst>
              <a:ext uri="{FF2B5EF4-FFF2-40B4-BE49-F238E27FC236}">
                <a16:creationId xmlns:a16="http://schemas.microsoft.com/office/drawing/2014/main" id="{00000000-0008-0000-2100-0000970537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2" name="$BK$117">
            <a:extLst>
              <a:ext uri="{FF2B5EF4-FFF2-40B4-BE49-F238E27FC236}">
                <a16:creationId xmlns:a16="http://schemas.microsoft.com/office/drawing/2014/main" id="{00000000-0008-0000-2100-0000980537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3" name="$BK$117">
            <a:extLst>
              <a:ext uri="{FF2B5EF4-FFF2-40B4-BE49-F238E27FC236}">
                <a16:creationId xmlns:a16="http://schemas.microsoft.com/office/drawing/2014/main" id="{00000000-0008-0000-2100-0000990537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4" name="$BK$117">
            <a:extLst>
              <a:ext uri="{FF2B5EF4-FFF2-40B4-BE49-F238E27FC236}">
                <a16:creationId xmlns:a16="http://schemas.microsoft.com/office/drawing/2014/main" id="{00000000-0008-0000-2100-00009A0537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5" name="$BK$117">
            <a:extLst>
              <a:ext uri="{FF2B5EF4-FFF2-40B4-BE49-F238E27FC236}">
                <a16:creationId xmlns:a16="http://schemas.microsoft.com/office/drawing/2014/main" id="{00000000-0008-0000-2100-00009B0537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6" name="$BK$117">
            <a:extLst>
              <a:ext uri="{FF2B5EF4-FFF2-40B4-BE49-F238E27FC236}">
                <a16:creationId xmlns:a16="http://schemas.microsoft.com/office/drawing/2014/main" id="{00000000-0008-0000-2100-00009C0537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7" name="$BK$117">
            <a:extLst>
              <a:ext uri="{FF2B5EF4-FFF2-40B4-BE49-F238E27FC236}">
                <a16:creationId xmlns:a16="http://schemas.microsoft.com/office/drawing/2014/main" id="{00000000-0008-0000-2100-00009D0537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8" name="$BK$117">
            <a:extLst>
              <a:ext uri="{FF2B5EF4-FFF2-40B4-BE49-F238E27FC236}">
                <a16:creationId xmlns:a16="http://schemas.microsoft.com/office/drawing/2014/main" id="{00000000-0008-0000-2100-00009E0537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19" name="$BK$117">
            <a:extLst>
              <a:ext uri="{FF2B5EF4-FFF2-40B4-BE49-F238E27FC236}">
                <a16:creationId xmlns:a16="http://schemas.microsoft.com/office/drawing/2014/main" id="{00000000-0008-0000-2100-00009F0537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0" name="$BK$117">
            <a:extLst>
              <a:ext uri="{FF2B5EF4-FFF2-40B4-BE49-F238E27FC236}">
                <a16:creationId xmlns:a16="http://schemas.microsoft.com/office/drawing/2014/main" id="{00000000-0008-0000-2100-0000A00537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1" name="$BK$117">
            <a:extLst>
              <a:ext uri="{FF2B5EF4-FFF2-40B4-BE49-F238E27FC236}">
                <a16:creationId xmlns:a16="http://schemas.microsoft.com/office/drawing/2014/main" id="{00000000-0008-0000-2100-0000A10537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2" name="$BK$117">
            <a:extLst>
              <a:ext uri="{FF2B5EF4-FFF2-40B4-BE49-F238E27FC236}">
                <a16:creationId xmlns:a16="http://schemas.microsoft.com/office/drawing/2014/main" id="{00000000-0008-0000-2100-0000A20537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3" name="$BK$117">
            <a:extLst>
              <a:ext uri="{FF2B5EF4-FFF2-40B4-BE49-F238E27FC236}">
                <a16:creationId xmlns:a16="http://schemas.microsoft.com/office/drawing/2014/main" id="{00000000-0008-0000-2100-0000A30537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4" name="$BK$117">
            <a:extLst>
              <a:ext uri="{FF2B5EF4-FFF2-40B4-BE49-F238E27FC236}">
                <a16:creationId xmlns:a16="http://schemas.microsoft.com/office/drawing/2014/main" id="{00000000-0008-0000-2100-0000A40537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5" name="$BK$117">
            <a:extLst>
              <a:ext uri="{FF2B5EF4-FFF2-40B4-BE49-F238E27FC236}">
                <a16:creationId xmlns:a16="http://schemas.microsoft.com/office/drawing/2014/main" id="{00000000-0008-0000-2100-0000A50537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6" name="$BK$117">
            <a:extLst>
              <a:ext uri="{FF2B5EF4-FFF2-40B4-BE49-F238E27FC236}">
                <a16:creationId xmlns:a16="http://schemas.microsoft.com/office/drawing/2014/main" id="{00000000-0008-0000-2100-0000A60537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7" name="$BK$117">
            <a:extLst>
              <a:ext uri="{FF2B5EF4-FFF2-40B4-BE49-F238E27FC236}">
                <a16:creationId xmlns:a16="http://schemas.microsoft.com/office/drawing/2014/main" id="{00000000-0008-0000-2100-0000A70537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8" name="$BK$117">
            <a:extLst>
              <a:ext uri="{FF2B5EF4-FFF2-40B4-BE49-F238E27FC236}">
                <a16:creationId xmlns:a16="http://schemas.microsoft.com/office/drawing/2014/main" id="{00000000-0008-0000-2100-0000A80537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29" name="$BK$117">
            <a:extLst>
              <a:ext uri="{FF2B5EF4-FFF2-40B4-BE49-F238E27FC236}">
                <a16:creationId xmlns:a16="http://schemas.microsoft.com/office/drawing/2014/main" id="{00000000-0008-0000-2100-0000A90537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0" name="$BK$117">
            <a:extLst>
              <a:ext uri="{FF2B5EF4-FFF2-40B4-BE49-F238E27FC236}">
                <a16:creationId xmlns:a16="http://schemas.microsoft.com/office/drawing/2014/main" id="{00000000-0008-0000-2100-0000AA0537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1" name="$BK$117">
            <a:extLst>
              <a:ext uri="{FF2B5EF4-FFF2-40B4-BE49-F238E27FC236}">
                <a16:creationId xmlns:a16="http://schemas.microsoft.com/office/drawing/2014/main" id="{00000000-0008-0000-2100-0000AB0537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2" name="$BK$117">
            <a:extLst>
              <a:ext uri="{FF2B5EF4-FFF2-40B4-BE49-F238E27FC236}">
                <a16:creationId xmlns:a16="http://schemas.microsoft.com/office/drawing/2014/main" id="{00000000-0008-0000-2100-0000AC0537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3" name="$BK$117">
            <a:extLst>
              <a:ext uri="{FF2B5EF4-FFF2-40B4-BE49-F238E27FC236}">
                <a16:creationId xmlns:a16="http://schemas.microsoft.com/office/drawing/2014/main" id="{00000000-0008-0000-2100-0000AD0537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4" name="$BK$117">
            <a:extLst>
              <a:ext uri="{FF2B5EF4-FFF2-40B4-BE49-F238E27FC236}">
                <a16:creationId xmlns:a16="http://schemas.microsoft.com/office/drawing/2014/main" id="{00000000-0008-0000-2100-0000AE0537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5" name="$BK$117">
            <a:extLst>
              <a:ext uri="{FF2B5EF4-FFF2-40B4-BE49-F238E27FC236}">
                <a16:creationId xmlns:a16="http://schemas.microsoft.com/office/drawing/2014/main" id="{00000000-0008-0000-2100-0000AF0537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6" name="$BK$117">
            <a:extLst>
              <a:ext uri="{FF2B5EF4-FFF2-40B4-BE49-F238E27FC236}">
                <a16:creationId xmlns:a16="http://schemas.microsoft.com/office/drawing/2014/main" id="{00000000-0008-0000-2100-0000B00537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7" name="$BK$117">
            <a:extLst>
              <a:ext uri="{FF2B5EF4-FFF2-40B4-BE49-F238E27FC236}">
                <a16:creationId xmlns:a16="http://schemas.microsoft.com/office/drawing/2014/main" id="{00000000-0008-0000-2100-0000B10537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8" name="$BK$117">
            <a:extLst>
              <a:ext uri="{FF2B5EF4-FFF2-40B4-BE49-F238E27FC236}">
                <a16:creationId xmlns:a16="http://schemas.microsoft.com/office/drawing/2014/main" id="{00000000-0008-0000-2100-0000B20537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39" name="$BK$117">
            <a:extLst>
              <a:ext uri="{FF2B5EF4-FFF2-40B4-BE49-F238E27FC236}">
                <a16:creationId xmlns:a16="http://schemas.microsoft.com/office/drawing/2014/main" id="{00000000-0008-0000-2100-0000B30537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46" name="$BK$117">
            <a:extLst>
              <a:ext uri="{FF2B5EF4-FFF2-40B4-BE49-F238E27FC236}">
                <a16:creationId xmlns:a16="http://schemas.microsoft.com/office/drawing/2014/main" id="{00000000-0008-0000-2100-0000BA0537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47" name="$BK$117">
            <a:extLst>
              <a:ext uri="{FF2B5EF4-FFF2-40B4-BE49-F238E27FC236}">
                <a16:creationId xmlns:a16="http://schemas.microsoft.com/office/drawing/2014/main" id="{00000000-0008-0000-2100-0000BB0537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48" name="$BK$117">
            <a:extLst>
              <a:ext uri="{FF2B5EF4-FFF2-40B4-BE49-F238E27FC236}">
                <a16:creationId xmlns:a16="http://schemas.microsoft.com/office/drawing/2014/main" id="{00000000-0008-0000-2100-0000BC0537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49" name="$BK$117">
            <a:extLst>
              <a:ext uri="{FF2B5EF4-FFF2-40B4-BE49-F238E27FC236}">
                <a16:creationId xmlns:a16="http://schemas.microsoft.com/office/drawing/2014/main" id="{00000000-0008-0000-2100-0000BD0537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50" name="$BK$117">
            <a:extLst>
              <a:ext uri="{FF2B5EF4-FFF2-40B4-BE49-F238E27FC236}">
                <a16:creationId xmlns:a16="http://schemas.microsoft.com/office/drawing/2014/main" id="{00000000-0008-0000-2100-0000BE0537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5951" name="$BK$117">
            <a:extLst>
              <a:ext uri="{FF2B5EF4-FFF2-40B4-BE49-F238E27FC236}">
                <a16:creationId xmlns:a16="http://schemas.microsoft.com/office/drawing/2014/main" id="{00000000-0008-0000-2100-0000BF0537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0" name="$BK$117">
            <a:extLst>
              <a:ext uri="{FF2B5EF4-FFF2-40B4-BE49-F238E27FC236}">
                <a16:creationId xmlns:a16="http://schemas.microsoft.com/office/drawing/2014/main" id="{00000000-0008-0000-2100-0000806B37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1" name="$BK$117">
            <a:extLst>
              <a:ext uri="{FF2B5EF4-FFF2-40B4-BE49-F238E27FC236}">
                <a16:creationId xmlns:a16="http://schemas.microsoft.com/office/drawing/2014/main" id="{00000000-0008-0000-2100-0000816B37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2" name="$BK$117">
            <a:extLst>
              <a:ext uri="{FF2B5EF4-FFF2-40B4-BE49-F238E27FC236}">
                <a16:creationId xmlns:a16="http://schemas.microsoft.com/office/drawing/2014/main" id="{00000000-0008-0000-2100-0000826B37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3" name="$BK$117">
            <a:extLst>
              <a:ext uri="{FF2B5EF4-FFF2-40B4-BE49-F238E27FC236}">
                <a16:creationId xmlns:a16="http://schemas.microsoft.com/office/drawing/2014/main" id="{00000000-0008-0000-2100-0000836B37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4" name="$BK$117">
            <a:extLst>
              <a:ext uri="{FF2B5EF4-FFF2-40B4-BE49-F238E27FC236}">
                <a16:creationId xmlns:a16="http://schemas.microsoft.com/office/drawing/2014/main" id="{00000000-0008-0000-2100-0000846B37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5" name="$BK$117">
            <a:extLst>
              <a:ext uri="{FF2B5EF4-FFF2-40B4-BE49-F238E27FC236}">
                <a16:creationId xmlns:a16="http://schemas.microsoft.com/office/drawing/2014/main" id="{00000000-0008-0000-2100-0000856B37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6" name="$BK$117">
            <a:extLst>
              <a:ext uri="{FF2B5EF4-FFF2-40B4-BE49-F238E27FC236}">
                <a16:creationId xmlns:a16="http://schemas.microsoft.com/office/drawing/2014/main" id="{00000000-0008-0000-2100-0000866B37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7" name="$BK$117">
            <a:extLst>
              <a:ext uri="{FF2B5EF4-FFF2-40B4-BE49-F238E27FC236}">
                <a16:creationId xmlns:a16="http://schemas.microsoft.com/office/drawing/2014/main" id="{00000000-0008-0000-2100-0000876B37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8" name="$BK$117">
            <a:extLst>
              <a:ext uri="{FF2B5EF4-FFF2-40B4-BE49-F238E27FC236}">
                <a16:creationId xmlns:a16="http://schemas.microsoft.com/office/drawing/2014/main" id="{00000000-0008-0000-2100-0000886B37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09" name="$BK$117">
            <a:extLst>
              <a:ext uri="{FF2B5EF4-FFF2-40B4-BE49-F238E27FC236}">
                <a16:creationId xmlns:a16="http://schemas.microsoft.com/office/drawing/2014/main" id="{00000000-0008-0000-2100-0000896B37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0" name="$BK$117">
            <a:extLst>
              <a:ext uri="{FF2B5EF4-FFF2-40B4-BE49-F238E27FC236}">
                <a16:creationId xmlns:a16="http://schemas.microsoft.com/office/drawing/2014/main" id="{00000000-0008-0000-2100-00008A6B37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1" name="$BK$117">
            <a:extLst>
              <a:ext uri="{FF2B5EF4-FFF2-40B4-BE49-F238E27FC236}">
                <a16:creationId xmlns:a16="http://schemas.microsoft.com/office/drawing/2014/main" id="{00000000-0008-0000-2100-00008B6B37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2" name="$BK$117">
            <a:extLst>
              <a:ext uri="{FF2B5EF4-FFF2-40B4-BE49-F238E27FC236}">
                <a16:creationId xmlns:a16="http://schemas.microsoft.com/office/drawing/2014/main" id="{00000000-0008-0000-2100-00008C6B37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3" name="$BK$117">
            <a:extLst>
              <a:ext uri="{FF2B5EF4-FFF2-40B4-BE49-F238E27FC236}">
                <a16:creationId xmlns:a16="http://schemas.microsoft.com/office/drawing/2014/main" id="{00000000-0008-0000-2100-00008D6B37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4" name="$BK$117">
            <a:extLst>
              <a:ext uri="{FF2B5EF4-FFF2-40B4-BE49-F238E27FC236}">
                <a16:creationId xmlns:a16="http://schemas.microsoft.com/office/drawing/2014/main" id="{00000000-0008-0000-2100-00008E6B37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5" name="$BK$117">
            <a:extLst>
              <a:ext uri="{FF2B5EF4-FFF2-40B4-BE49-F238E27FC236}">
                <a16:creationId xmlns:a16="http://schemas.microsoft.com/office/drawing/2014/main" id="{00000000-0008-0000-2100-00008F6B37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6" name="$BK$117">
            <a:extLst>
              <a:ext uri="{FF2B5EF4-FFF2-40B4-BE49-F238E27FC236}">
                <a16:creationId xmlns:a16="http://schemas.microsoft.com/office/drawing/2014/main" id="{00000000-0008-0000-2100-0000906B37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7" name="$BK$117">
            <a:extLst>
              <a:ext uri="{FF2B5EF4-FFF2-40B4-BE49-F238E27FC236}">
                <a16:creationId xmlns:a16="http://schemas.microsoft.com/office/drawing/2014/main" id="{00000000-0008-0000-2100-0000916B37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8" name="$BK$117">
            <a:extLst>
              <a:ext uri="{FF2B5EF4-FFF2-40B4-BE49-F238E27FC236}">
                <a16:creationId xmlns:a16="http://schemas.microsoft.com/office/drawing/2014/main" id="{00000000-0008-0000-2100-0000926B37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19" name="$BK$117">
            <a:extLst>
              <a:ext uri="{FF2B5EF4-FFF2-40B4-BE49-F238E27FC236}">
                <a16:creationId xmlns:a16="http://schemas.microsoft.com/office/drawing/2014/main" id="{00000000-0008-0000-2100-0000936B37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0" name="$BK$117">
            <a:extLst>
              <a:ext uri="{FF2B5EF4-FFF2-40B4-BE49-F238E27FC236}">
                <a16:creationId xmlns:a16="http://schemas.microsoft.com/office/drawing/2014/main" id="{00000000-0008-0000-2100-0000946B37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1" name="$BK$117">
            <a:extLst>
              <a:ext uri="{FF2B5EF4-FFF2-40B4-BE49-F238E27FC236}">
                <a16:creationId xmlns:a16="http://schemas.microsoft.com/office/drawing/2014/main" id="{00000000-0008-0000-2100-0000956B37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2" name="$BK$117">
            <a:extLst>
              <a:ext uri="{FF2B5EF4-FFF2-40B4-BE49-F238E27FC236}">
                <a16:creationId xmlns:a16="http://schemas.microsoft.com/office/drawing/2014/main" id="{00000000-0008-0000-2100-0000966B37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3" name="$BK$117">
            <a:extLst>
              <a:ext uri="{FF2B5EF4-FFF2-40B4-BE49-F238E27FC236}">
                <a16:creationId xmlns:a16="http://schemas.microsoft.com/office/drawing/2014/main" id="{00000000-0008-0000-2100-0000976B37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4" name="$BK$117">
            <a:extLst>
              <a:ext uri="{FF2B5EF4-FFF2-40B4-BE49-F238E27FC236}">
                <a16:creationId xmlns:a16="http://schemas.microsoft.com/office/drawing/2014/main" id="{00000000-0008-0000-2100-0000986B37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5" name="$BK$117">
            <a:extLst>
              <a:ext uri="{FF2B5EF4-FFF2-40B4-BE49-F238E27FC236}">
                <a16:creationId xmlns:a16="http://schemas.microsoft.com/office/drawing/2014/main" id="{00000000-0008-0000-2100-0000996B37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6" name="$BK$117">
            <a:extLst>
              <a:ext uri="{FF2B5EF4-FFF2-40B4-BE49-F238E27FC236}">
                <a16:creationId xmlns:a16="http://schemas.microsoft.com/office/drawing/2014/main" id="{00000000-0008-0000-2100-00009A6B37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7" name="$BK$117">
            <a:extLst>
              <a:ext uri="{FF2B5EF4-FFF2-40B4-BE49-F238E27FC236}">
                <a16:creationId xmlns:a16="http://schemas.microsoft.com/office/drawing/2014/main" id="{00000000-0008-0000-2100-00009B6B37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8" name="$BK$117">
            <a:extLst>
              <a:ext uri="{FF2B5EF4-FFF2-40B4-BE49-F238E27FC236}">
                <a16:creationId xmlns:a16="http://schemas.microsoft.com/office/drawing/2014/main" id="{00000000-0008-0000-2100-00009C6B37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29" name="$BK$117">
            <a:extLst>
              <a:ext uri="{FF2B5EF4-FFF2-40B4-BE49-F238E27FC236}">
                <a16:creationId xmlns:a16="http://schemas.microsoft.com/office/drawing/2014/main" id="{00000000-0008-0000-2100-00009D6B37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0" name="$BK$117">
            <a:extLst>
              <a:ext uri="{FF2B5EF4-FFF2-40B4-BE49-F238E27FC236}">
                <a16:creationId xmlns:a16="http://schemas.microsoft.com/office/drawing/2014/main" id="{00000000-0008-0000-2100-00009E6B37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1" name="$BK$117">
            <a:extLst>
              <a:ext uri="{FF2B5EF4-FFF2-40B4-BE49-F238E27FC236}">
                <a16:creationId xmlns:a16="http://schemas.microsoft.com/office/drawing/2014/main" id="{00000000-0008-0000-2100-00009F6B37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2" name="$BK$117">
            <a:extLst>
              <a:ext uri="{FF2B5EF4-FFF2-40B4-BE49-F238E27FC236}">
                <a16:creationId xmlns:a16="http://schemas.microsoft.com/office/drawing/2014/main" id="{00000000-0008-0000-2100-0000A06B37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3" name="$BK$117">
            <a:extLst>
              <a:ext uri="{FF2B5EF4-FFF2-40B4-BE49-F238E27FC236}">
                <a16:creationId xmlns:a16="http://schemas.microsoft.com/office/drawing/2014/main" id="{00000000-0008-0000-2100-0000A16B37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4" name="$BK$117">
            <a:extLst>
              <a:ext uri="{FF2B5EF4-FFF2-40B4-BE49-F238E27FC236}">
                <a16:creationId xmlns:a16="http://schemas.microsoft.com/office/drawing/2014/main" id="{00000000-0008-0000-2100-0000A26B37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5" name="$BK$117">
            <a:extLst>
              <a:ext uri="{FF2B5EF4-FFF2-40B4-BE49-F238E27FC236}">
                <a16:creationId xmlns:a16="http://schemas.microsoft.com/office/drawing/2014/main" id="{00000000-0008-0000-2100-0000A36B37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6" name="$BK$117">
            <a:extLst>
              <a:ext uri="{FF2B5EF4-FFF2-40B4-BE49-F238E27FC236}">
                <a16:creationId xmlns:a16="http://schemas.microsoft.com/office/drawing/2014/main" id="{00000000-0008-0000-2100-0000A46B37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7" name="$BK$117">
            <a:extLst>
              <a:ext uri="{FF2B5EF4-FFF2-40B4-BE49-F238E27FC236}">
                <a16:creationId xmlns:a16="http://schemas.microsoft.com/office/drawing/2014/main" id="{00000000-0008-0000-2100-0000A56B37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8" name="$BK$117">
            <a:extLst>
              <a:ext uri="{FF2B5EF4-FFF2-40B4-BE49-F238E27FC236}">
                <a16:creationId xmlns:a16="http://schemas.microsoft.com/office/drawing/2014/main" id="{00000000-0008-0000-2100-0000A66B37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39" name="$BK$117">
            <a:extLst>
              <a:ext uri="{FF2B5EF4-FFF2-40B4-BE49-F238E27FC236}">
                <a16:creationId xmlns:a16="http://schemas.microsoft.com/office/drawing/2014/main" id="{00000000-0008-0000-2100-0000A76B37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40" name="$BK$117">
            <a:extLst>
              <a:ext uri="{FF2B5EF4-FFF2-40B4-BE49-F238E27FC236}">
                <a16:creationId xmlns:a16="http://schemas.microsoft.com/office/drawing/2014/main" id="{00000000-0008-0000-2100-0000A86B37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41" name="$BK$117">
            <a:extLst>
              <a:ext uri="{FF2B5EF4-FFF2-40B4-BE49-F238E27FC236}">
                <a16:creationId xmlns:a16="http://schemas.microsoft.com/office/drawing/2014/main" id="{00000000-0008-0000-2100-0000A96B37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42" name="$BK$117">
            <a:extLst>
              <a:ext uri="{FF2B5EF4-FFF2-40B4-BE49-F238E27FC236}">
                <a16:creationId xmlns:a16="http://schemas.microsoft.com/office/drawing/2014/main" id="{00000000-0008-0000-2100-0000AA6B37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43" name="$BK$117">
            <a:extLst>
              <a:ext uri="{FF2B5EF4-FFF2-40B4-BE49-F238E27FC236}">
                <a16:creationId xmlns:a16="http://schemas.microsoft.com/office/drawing/2014/main" id="{00000000-0008-0000-2100-0000AB6B37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044" name="$BK$117">
            <a:extLst>
              <a:ext uri="{FF2B5EF4-FFF2-40B4-BE49-F238E27FC236}">
                <a16:creationId xmlns:a16="http://schemas.microsoft.com/office/drawing/2014/main" id="{00000000-0008-0000-2100-0000AC6B37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2" name="$BK$117">
            <a:extLst>
              <a:ext uri="{FF2B5EF4-FFF2-40B4-BE49-F238E27FC236}">
                <a16:creationId xmlns:a16="http://schemas.microsoft.com/office/drawing/2014/main" id="{00000000-0008-0000-2100-0000806D37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3" name="$BK$117">
            <a:extLst>
              <a:ext uri="{FF2B5EF4-FFF2-40B4-BE49-F238E27FC236}">
                <a16:creationId xmlns:a16="http://schemas.microsoft.com/office/drawing/2014/main" id="{00000000-0008-0000-2100-0000816D37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4" name="$BK$117">
            <a:extLst>
              <a:ext uri="{FF2B5EF4-FFF2-40B4-BE49-F238E27FC236}">
                <a16:creationId xmlns:a16="http://schemas.microsoft.com/office/drawing/2014/main" id="{00000000-0008-0000-2100-0000826D37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5" name="$BK$117">
            <a:extLst>
              <a:ext uri="{FF2B5EF4-FFF2-40B4-BE49-F238E27FC236}">
                <a16:creationId xmlns:a16="http://schemas.microsoft.com/office/drawing/2014/main" id="{00000000-0008-0000-2100-0000836D37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6" name="$BK$117">
            <a:extLst>
              <a:ext uri="{FF2B5EF4-FFF2-40B4-BE49-F238E27FC236}">
                <a16:creationId xmlns:a16="http://schemas.microsoft.com/office/drawing/2014/main" id="{00000000-0008-0000-2100-0000846D37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7" name="$BK$117">
            <a:extLst>
              <a:ext uri="{FF2B5EF4-FFF2-40B4-BE49-F238E27FC236}">
                <a16:creationId xmlns:a16="http://schemas.microsoft.com/office/drawing/2014/main" id="{00000000-0008-0000-2100-0000856D37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8" name="$BK$117">
            <a:extLst>
              <a:ext uri="{FF2B5EF4-FFF2-40B4-BE49-F238E27FC236}">
                <a16:creationId xmlns:a16="http://schemas.microsoft.com/office/drawing/2014/main" id="{00000000-0008-0000-2100-0000866D37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19" name="$BK$117">
            <a:extLst>
              <a:ext uri="{FF2B5EF4-FFF2-40B4-BE49-F238E27FC236}">
                <a16:creationId xmlns:a16="http://schemas.microsoft.com/office/drawing/2014/main" id="{00000000-0008-0000-2100-0000876D37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0" name="$BK$117">
            <a:extLst>
              <a:ext uri="{FF2B5EF4-FFF2-40B4-BE49-F238E27FC236}">
                <a16:creationId xmlns:a16="http://schemas.microsoft.com/office/drawing/2014/main" id="{00000000-0008-0000-2100-0000886D37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1" name="$BK$117">
            <a:extLst>
              <a:ext uri="{FF2B5EF4-FFF2-40B4-BE49-F238E27FC236}">
                <a16:creationId xmlns:a16="http://schemas.microsoft.com/office/drawing/2014/main" id="{00000000-0008-0000-2100-0000896D37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2" name="$BK$117">
            <a:extLst>
              <a:ext uri="{FF2B5EF4-FFF2-40B4-BE49-F238E27FC236}">
                <a16:creationId xmlns:a16="http://schemas.microsoft.com/office/drawing/2014/main" id="{00000000-0008-0000-2100-00008A6D37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3" name="$BK$117">
            <a:extLst>
              <a:ext uri="{FF2B5EF4-FFF2-40B4-BE49-F238E27FC236}">
                <a16:creationId xmlns:a16="http://schemas.microsoft.com/office/drawing/2014/main" id="{00000000-0008-0000-2100-00008B6D37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4" name="$BK$117">
            <a:extLst>
              <a:ext uri="{FF2B5EF4-FFF2-40B4-BE49-F238E27FC236}">
                <a16:creationId xmlns:a16="http://schemas.microsoft.com/office/drawing/2014/main" id="{00000000-0008-0000-2100-00008C6D37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5" name="$BK$117">
            <a:extLst>
              <a:ext uri="{FF2B5EF4-FFF2-40B4-BE49-F238E27FC236}">
                <a16:creationId xmlns:a16="http://schemas.microsoft.com/office/drawing/2014/main" id="{00000000-0008-0000-2100-00008D6D37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6" name="$BK$117">
            <a:extLst>
              <a:ext uri="{FF2B5EF4-FFF2-40B4-BE49-F238E27FC236}">
                <a16:creationId xmlns:a16="http://schemas.microsoft.com/office/drawing/2014/main" id="{00000000-0008-0000-2100-00008E6D37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7" name="$BK$117">
            <a:extLst>
              <a:ext uri="{FF2B5EF4-FFF2-40B4-BE49-F238E27FC236}">
                <a16:creationId xmlns:a16="http://schemas.microsoft.com/office/drawing/2014/main" id="{00000000-0008-0000-2100-00008F6D37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8" name="$BK$117">
            <a:extLst>
              <a:ext uri="{FF2B5EF4-FFF2-40B4-BE49-F238E27FC236}">
                <a16:creationId xmlns:a16="http://schemas.microsoft.com/office/drawing/2014/main" id="{00000000-0008-0000-2100-0000906D37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29" name="$BK$117">
            <a:extLst>
              <a:ext uri="{FF2B5EF4-FFF2-40B4-BE49-F238E27FC236}">
                <a16:creationId xmlns:a16="http://schemas.microsoft.com/office/drawing/2014/main" id="{00000000-0008-0000-2100-0000916D37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0" name="$BK$117">
            <a:extLst>
              <a:ext uri="{FF2B5EF4-FFF2-40B4-BE49-F238E27FC236}">
                <a16:creationId xmlns:a16="http://schemas.microsoft.com/office/drawing/2014/main" id="{00000000-0008-0000-2100-0000926D37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1" name="$BK$117">
            <a:extLst>
              <a:ext uri="{FF2B5EF4-FFF2-40B4-BE49-F238E27FC236}">
                <a16:creationId xmlns:a16="http://schemas.microsoft.com/office/drawing/2014/main" id="{00000000-0008-0000-2100-0000936D37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2" name="$BK$117">
            <a:extLst>
              <a:ext uri="{FF2B5EF4-FFF2-40B4-BE49-F238E27FC236}">
                <a16:creationId xmlns:a16="http://schemas.microsoft.com/office/drawing/2014/main" id="{00000000-0008-0000-2100-0000946D37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3" name="$BK$117">
            <a:extLst>
              <a:ext uri="{FF2B5EF4-FFF2-40B4-BE49-F238E27FC236}">
                <a16:creationId xmlns:a16="http://schemas.microsoft.com/office/drawing/2014/main" id="{00000000-0008-0000-2100-0000956D37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4" name="$BK$117">
            <a:extLst>
              <a:ext uri="{FF2B5EF4-FFF2-40B4-BE49-F238E27FC236}">
                <a16:creationId xmlns:a16="http://schemas.microsoft.com/office/drawing/2014/main" id="{00000000-0008-0000-2100-0000966D37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5" name="$BK$117">
            <a:extLst>
              <a:ext uri="{FF2B5EF4-FFF2-40B4-BE49-F238E27FC236}">
                <a16:creationId xmlns:a16="http://schemas.microsoft.com/office/drawing/2014/main" id="{00000000-0008-0000-2100-0000976D37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6" name="$BK$117">
            <a:extLst>
              <a:ext uri="{FF2B5EF4-FFF2-40B4-BE49-F238E27FC236}">
                <a16:creationId xmlns:a16="http://schemas.microsoft.com/office/drawing/2014/main" id="{00000000-0008-0000-2100-0000986D37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7" name="$BK$117">
            <a:extLst>
              <a:ext uri="{FF2B5EF4-FFF2-40B4-BE49-F238E27FC236}">
                <a16:creationId xmlns:a16="http://schemas.microsoft.com/office/drawing/2014/main" id="{00000000-0008-0000-2100-0000996D37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8" name="$BK$117">
            <a:extLst>
              <a:ext uri="{FF2B5EF4-FFF2-40B4-BE49-F238E27FC236}">
                <a16:creationId xmlns:a16="http://schemas.microsoft.com/office/drawing/2014/main" id="{00000000-0008-0000-2100-00009A6D37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39" name="$BK$117">
            <a:extLst>
              <a:ext uri="{FF2B5EF4-FFF2-40B4-BE49-F238E27FC236}">
                <a16:creationId xmlns:a16="http://schemas.microsoft.com/office/drawing/2014/main" id="{00000000-0008-0000-2100-00009B6D37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0" name="$BK$117">
            <a:extLst>
              <a:ext uri="{FF2B5EF4-FFF2-40B4-BE49-F238E27FC236}">
                <a16:creationId xmlns:a16="http://schemas.microsoft.com/office/drawing/2014/main" id="{00000000-0008-0000-2100-00009C6D37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1" name="$BK$117">
            <a:extLst>
              <a:ext uri="{FF2B5EF4-FFF2-40B4-BE49-F238E27FC236}">
                <a16:creationId xmlns:a16="http://schemas.microsoft.com/office/drawing/2014/main" id="{00000000-0008-0000-2100-00009D6D37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2" name="$BK$117">
            <a:extLst>
              <a:ext uri="{FF2B5EF4-FFF2-40B4-BE49-F238E27FC236}">
                <a16:creationId xmlns:a16="http://schemas.microsoft.com/office/drawing/2014/main" id="{00000000-0008-0000-2100-00009E6D37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3" name="$BK$117">
            <a:extLst>
              <a:ext uri="{FF2B5EF4-FFF2-40B4-BE49-F238E27FC236}">
                <a16:creationId xmlns:a16="http://schemas.microsoft.com/office/drawing/2014/main" id="{00000000-0008-0000-2100-00009F6D37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4" name="$BK$117">
            <a:extLst>
              <a:ext uri="{FF2B5EF4-FFF2-40B4-BE49-F238E27FC236}">
                <a16:creationId xmlns:a16="http://schemas.microsoft.com/office/drawing/2014/main" id="{00000000-0008-0000-2100-0000A06D37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5" name="$BK$117">
            <a:extLst>
              <a:ext uri="{FF2B5EF4-FFF2-40B4-BE49-F238E27FC236}">
                <a16:creationId xmlns:a16="http://schemas.microsoft.com/office/drawing/2014/main" id="{00000000-0008-0000-2100-0000A16D37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6" name="$BK$117">
            <a:extLst>
              <a:ext uri="{FF2B5EF4-FFF2-40B4-BE49-F238E27FC236}">
                <a16:creationId xmlns:a16="http://schemas.microsoft.com/office/drawing/2014/main" id="{00000000-0008-0000-2100-0000A26D37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7" name="$BK$117">
            <a:extLst>
              <a:ext uri="{FF2B5EF4-FFF2-40B4-BE49-F238E27FC236}">
                <a16:creationId xmlns:a16="http://schemas.microsoft.com/office/drawing/2014/main" id="{00000000-0008-0000-2100-0000A36D37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48" name="$BK$117">
            <a:extLst>
              <a:ext uri="{FF2B5EF4-FFF2-40B4-BE49-F238E27FC236}">
                <a16:creationId xmlns:a16="http://schemas.microsoft.com/office/drawing/2014/main" id="{00000000-0008-0000-2100-0000A46D37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44</xdr:col>
      <xdr:colOff>100962</xdr:colOff>
      <xdr:row>114</xdr:row>
      <xdr:rowOff>267646</xdr:rowOff>
    </xdr:from>
    <xdr:to>
      <xdr:col>44</xdr:col>
      <xdr:colOff>980130</xdr:colOff>
      <xdr:row>117</xdr:row>
      <xdr:rowOff>218126</xdr:rowOff>
    </xdr:to>
    <xdr:grpSp>
      <xdr:nvGrpSpPr>
        <xdr:cNvPr id="3632962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2100-0000426F3700}"/>
            </a:ext>
          </a:extLst>
        </xdr:cNvPr>
        <xdr:cNvGrpSpPr>
          <a:grpSpLocks noChangeAspect="1"/>
        </xdr:cNvGrpSpPr>
      </xdr:nvGrpSpPr>
      <xdr:grpSpPr>
        <a:xfrm>
          <a:off x="33545618" y="15995802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632550" name="$AS$116">
            <a:extLst>
              <a:ext uri="{FF2B5EF4-FFF2-40B4-BE49-F238E27FC236}">
                <a16:creationId xmlns:a16="http://schemas.microsoft.com/office/drawing/2014/main" id="{00000000-0008-0000-2100-0000A66D3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1" name="$AS$116">
            <a:extLst>
              <a:ext uri="{FF2B5EF4-FFF2-40B4-BE49-F238E27FC236}">
                <a16:creationId xmlns:a16="http://schemas.microsoft.com/office/drawing/2014/main" id="{00000000-0008-0000-2100-0000A76D3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2" name="$AS$116">
            <a:extLst>
              <a:ext uri="{FF2B5EF4-FFF2-40B4-BE49-F238E27FC236}">
                <a16:creationId xmlns:a16="http://schemas.microsoft.com/office/drawing/2014/main" id="{00000000-0008-0000-2100-0000A86D3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3" name="$AS$116">
            <a:extLst>
              <a:ext uri="{FF2B5EF4-FFF2-40B4-BE49-F238E27FC236}">
                <a16:creationId xmlns:a16="http://schemas.microsoft.com/office/drawing/2014/main" id="{00000000-0008-0000-2100-0000A96D3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4" name="$AS$116">
            <a:extLst>
              <a:ext uri="{FF2B5EF4-FFF2-40B4-BE49-F238E27FC236}">
                <a16:creationId xmlns:a16="http://schemas.microsoft.com/office/drawing/2014/main" id="{00000000-0008-0000-2100-0000AA6D3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5" name="$AS$116">
            <a:extLst>
              <a:ext uri="{FF2B5EF4-FFF2-40B4-BE49-F238E27FC236}">
                <a16:creationId xmlns:a16="http://schemas.microsoft.com/office/drawing/2014/main" id="{00000000-0008-0000-2100-0000AB6D3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6" name="$AS$116">
            <a:extLst>
              <a:ext uri="{FF2B5EF4-FFF2-40B4-BE49-F238E27FC236}">
                <a16:creationId xmlns:a16="http://schemas.microsoft.com/office/drawing/2014/main" id="{00000000-0008-0000-2100-0000AC6D3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7" name="$AS$116">
            <a:extLst>
              <a:ext uri="{FF2B5EF4-FFF2-40B4-BE49-F238E27FC236}">
                <a16:creationId xmlns:a16="http://schemas.microsoft.com/office/drawing/2014/main" id="{00000000-0008-0000-2100-0000AD6D3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8" name="$AS$116">
            <a:extLst>
              <a:ext uri="{FF2B5EF4-FFF2-40B4-BE49-F238E27FC236}">
                <a16:creationId xmlns:a16="http://schemas.microsoft.com/office/drawing/2014/main" id="{00000000-0008-0000-2100-0000AE6D3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59" name="$AS$116">
            <a:extLst>
              <a:ext uri="{FF2B5EF4-FFF2-40B4-BE49-F238E27FC236}">
                <a16:creationId xmlns:a16="http://schemas.microsoft.com/office/drawing/2014/main" id="{00000000-0008-0000-2100-0000AF6D3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0" name="$AS$116">
            <a:extLst>
              <a:ext uri="{FF2B5EF4-FFF2-40B4-BE49-F238E27FC236}">
                <a16:creationId xmlns:a16="http://schemas.microsoft.com/office/drawing/2014/main" id="{00000000-0008-0000-2100-0000B06D3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1" name="$AS$116">
            <a:extLst>
              <a:ext uri="{FF2B5EF4-FFF2-40B4-BE49-F238E27FC236}">
                <a16:creationId xmlns:a16="http://schemas.microsoft.com/office/drawing/2014/main" id="{00000000-0008-0000-2100-0000B16D3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2" name="$AS$116">
            <a:extLst>
              <a:ext uri="{FF2B5EF4-FFF2-40B4-BE49-F238E27FC236}">
                <a16:creationId xmlns:a16="http://schemas.microsoft.com/office/drawing/2014/main" id="{00000000-0008-0000-2100-0000B26D3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3" name="$AS$116">
            <a:extLst>
              <a:ext uri="{FF2B5EF4-FFF2-40B4-BE49-F238E27FC236}">
                <a16:creationId xmlns:a16="http://schemas.microsoft.com/office/drawing/2014/main" id="{00000000-0008-0000-2100-0000B36D3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4" name="$AS$116">
            <a:extLst>
              <a:ext uri="{FF2B5EF4-FFF2-40B4-BE49-F238E27FC236}">
                <a16:creationId xmlns:a16="http://schemas.microsoft.com/office/drawing/2014/main" id="{00000000-0008-0000-2100-0000B46D37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5" name="$AS$116">
            <a:extLst>
              <a:ext uri="{FF2B5EF4-FFF2-40B4-BE49-F238E27FC236}">
                <a16:creationId xmlns:a16="http://schemas.microsoft.com/office/drawing/2014/main" id="{00000000-0008-0000-2100-0000B56D37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6" name="$AS$116">
            <a:extLst>
              <a:ext uri="{FF2B5EF4-FFF2-40B4-BE49-F238E27FC236}">
                <a16:creationId xmlns:a16="http://schemas.microsoft.com/office/drawing/2014/main" id="{00000000-0008-0000-2100-0000B66D37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7" name="$AS$116">
            <a:extLst>
              <a:ext uri="{FF2B5EF4-FFF2-40B4-BE49-F238E27FC236}">
                <a16:creationId xmlns:a16="http://schemas.microsoft.com/office/drawing/2014/main" id="{00000000-0008-0000-2100-0000B76D37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8" name="$AS$116">
            <a:extLst>
              <a:ext uri="{FF2B5EF4-FFF2-40B4-BE49-F238E27FC236}">
                <a16:creationId xmlns:a16="http://schemas.microsoft.com/office/drawing/2014/main" id="{00000000-0008-0000-2100-0000B86D37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69" name="$AS$116">
            <a:extLst>
              <a:ext uri="{FF2B5EF4-FFF2-40B4-BE49-F238E27FC236}">
                <a16:creationId xmlns:a16="http://schemas.microsoft.com/office/drawing/2014/main" id="{00000000-0008-0000-2100-0000B96D37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0" name="$AS$116">
            <a:extLst>
              <a:ext uri="{FF2B5EF4-FFF2-40B4-BE49-F238E27FC236}">
                <a16:creationId xmlns:a16="http://schemas.microsoft.com/office/drawing/2014/main" id="{00000000-0008-0000-2100-0000BA6D37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1" name="$AS$116">
            <a:extLst>
              <a:ext uri="{FF2B5EF4-FFF2-40B4-BE49-F238E27FC236}">
                <a16:creationId xmlns:a16="http://schemas.microsoft.com/office/drawing/2014/main" id="{00000000-0008-0000-2100-0000BB6D3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2" name="$AS$116">
            <a:extLst>
              <a:ext uri="{FF2B5EF4-FFF2-40B4-BE49-F238E27FC236}">
                <a16:creationId xmlns:a16="http://schemas.microsoft.com/office/drawing/2014/main" id="{00000000-0008-0000-2100-0000BC6D3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3" name="$AS$116">
            <a:extLst>
              <a:ext uri="{FF2B5EF4-FFF2-40B4-BE49-F238E27FC236}">
                <a16:creationId xmlns:a16="http://schemas.microsoft.com/office/drawing/2014/main" id="{00000000-0008-0000-2100-0000BD6D3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4" name="$AS$116">
            <a:extLst>
              <a:ext uri="{FF2B5EF4-FFF2-40B4-BE49-F238E27FC236}">
                <a16:creationId xmlns:a16="http://schemas.microsoft.com/office/drawing/2014/main" id="{00000000-0008-0000-2100-0000BE6D3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5" name="$AS$116">
            <a:extLst>
              <a:ext uri="{FF2B5EF4-FFF2-40B4-BE49-F238E27FC236}">
                <a16:creationId xmlns:a16="http://schemas.microsoft.com/office/drawing/2014/main" id="{00000000-0008-0000-2100-0000BF6D37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6" name="$AS$116">
            <a:extLst>
              <a:ext uri="{FF2B5EF4-FFF2-40B4-BE49-F238E27FC236}">
                <a16:creationId xmlns:a16="http://schemas.microsoft.com/office/drawing/2014/main" id="{00000000-0008-0000-2100-0000C06D37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7" name="$AS$116">
            <a:extLst>
              <a:ext uri="{FF2B5EF4-FFF2-40B4-BE49-F238E27FC236}">
                <a16:creationId xmlns:a16="http://schemas.microsoft.com/office/drawing/2014/main" id="{00000000-0008-0000-2100-0000C16D37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8" name="$AS$116">
            <a:extLst>
              <a:ext uri="{FF2B5EF4-FFF2-40B4-BE49-F238E27FC236}">
                <a16:creationId xmlns:a16="http://schemas.microsoft.com/office/drawing/2014/main" id="{00000000-0008-0000-2100-0000C26D37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79" name="$AS$116">
            <a:extLst>
              <a:ext uri="{FF2B5EF4-FFF2-40B4-BE49-F238E27FC236}">
                <a16:creationId xmlns:a16="http://schemas.microsoft.com/office/drawing/2014/main" id="{00000000-0008-0000-2100-0000C36D37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0" name="$AS$116">
            <a:extLst>
              <a:ext uri="{FF2B5EF4-FFF2-40B4-BE49-F238E27FC236}">
                <a16:creationId xmlns:a16="http://schemas.microsoft.com/office/drawing/2014/main" id="{00000000-0008-0000-2100-0000C46D3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1" name="$AS$116">
            <a:extLst>
              <a:ext uri="{FF2B5EF4-FFF2-40B4-BE49-F238E27FC236}">
                <a16:creationId xmlns:a16="http://schemas.microsoft.com/office/drawing/2014/main" id="{00000000-0008-0000-2100-0000C56D3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2" name="$AS$116">
            <a:extLst>
              <a:ext uri="{FF2B5EF4-FFF2-40B4-BE49-F238E27FC236}">
                <a16:creationId xmlns:a16="http://schemas.microsoft.com/office/drawing/2014/main" id="{00000000-0008-0000-2100-0000C66D3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3" name="$AS$116">
            <a:extLst>
              <a:ext uri="{FF2B5EF4-FFF2-40B4-BE49-F238E27FC236}">
                <a16:creationId xmlns:a16="http://schemas.microsoft.com/office/drawing/2014/main" id="{00000000-0008-0000-2100-0000C76D3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4" name="$AS$116">
            <a:extLst>
              <a:ext uri="{FF2B5EF4-FFF2-40B4-BE49-F238E27FC236}">
                <a16:creationId xmlns:a16="http://schemas.microsoft.com/office/drawing/2014/main" id="{00000000-0008-0000-2100-0000C86D3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5" name="$AS$116">
            <a:extLst>
              <a:ext uri="{FF2B5EF4-FFF2-40B4-BE49-F238E27FC236}">
                <a16:creationId xmlns:a16="http://schemas.microsoft.com/office/drawing/2014/main" id="{00000000-0008-0000-2100-0000C96D37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6" name="$AS$116">
            <a:extLst>
              <a:ext uri="{FF2B5EF4-FFF2-40B4-BE49-F238E27FC236}">
                <a16:creationId xmlns:a16="http://schemas.microsoft.com/office/drawing/2014/main" id="{00000000-0008-0000-2100-0000CA6D37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7" name="$AS$116">
            <a:extLst>
              <a:ext uri="{FF2B5EF4-FFF2-40B4-BE49-F238E27FC236}">
                <a16:creationId xmlns:a16="http://schemas.microsoft.com/office/drawing/2014/main" id="{00000000-0008-0000-2100-0000CB6D37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8" name="$AS$116">
            <a:extLst>
              <a:ext uri="{FF2B5EF4-FFF2-40B4-BE49-F238E27FC236}">
                <a16:creationId xmlns:a16="http://schemas.microsoft.com/office/drawing/2014/main" id="{00000000-0008-0000-2100-0000CC6D3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89" name="$AS$116">
            <a:extLst>
              <a:ext uri="{FF2B5EF4-FFF2-40B4-BE49-F238E27FC236}">
                <a16:creationId xmlns:a16="http://schemas.microsoft.com/office/drawing/2014/main" id="{00000000-0008-0000-2100-0000CD6D37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0" name="$AS$116">
            <a:extLst>
              <a:ext uri="{FF2B5EF4-FFF2-40B4-BE49-F238E27FC236}">
                <a16:creationId xmlns:a16="http://schemas.microsoft.com/office/drawing/2014/main" id="{00000000-0008-0000-2100-0000CE6D37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1" name="$AS$116">
            <a:extLst>
              <a:ext uri="{FF2B5EF4-FFF2-40B4-BE49-F238E27FC236}">
                <a16:creationId xmlns:a16="http://schemas.microsoft.com/office/drawing/2014/main" id="{00000000-0008-0000-2100-0000CF6D37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2" name="$AS$116">
            <a:extLst>
              <a:ext uri="{FF2B5EF4-FFF2-40B4-BE49-F238E27FC236}">
                <a16:creationId xmlns:a16="http://schemas.microsoft.com/office/drawing/2014/main" id="{00000000-0008-0000-2100-0000D06D37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3" name="$AS$116">
            <a:extLst>
              <a:ext uri="{FF2B5EF4-FFF2-40B4-BE49-F238E27FC236}">
                <a16:creationId xmlns:a16="http://schemas.microsoft.com/office/drawing/2014/main" id="{00000000-0008-0000-2100-0000D16D37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4" name="$AS$116">
            <a:extLst>
              <a:ext uri="{FF2B5EF4-FFF2-40B4-BE49-F238E27FC236}">
                <a16:creationId xmlns:a16="http://schemas.microsoft.com/office/drawing/2014/main" id="{00000000-0008-0000-2100-0000D26D3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5" name="$AS$116">
            <a:extLst>
              <a:ext uri="{FF2B5EF4-FFF2-40B4-BE49-F238E27FC236}">
                <a16:creationId xmlns:a16="http://schemas.microsoft.com/office/drawing/2014/main" id="{00000000-0008-0000-2100-0000D36D3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6" name="$AS$116">
            <a:extLst>
              <a:ext uri="{FF2B5EF4-FFF2-40B4-BE49-F238E27FC236}">
                <a16:creationId xmlns:a16="http://schemas.microsoft.com/office/drawing/2014/main" id="{00000000-0008-0000-2100-0000D46D3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7" name="$AS$116">
            <a:extLst>
              <a:ext uri="{FF2B5EF4-FFF2-40B4-BE49-F238E27FC236}">
                <a16:creationId xmlns:a16="http://schemas.microsoft.com/office/drawing/2014/main" id="{00000000-0008-0000-2100-0000D56D3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8" name="$AS$116">
            <a:extLst>
              <a:ext uri="{FF2B5EF4-FFF2-40B4-BE49-F238E27FC236}">
                <a16:creationId xmlns:a16="http://schemas.microsoft.com/office/drawing/2014/main" id="{00000000-0008-0000-2100-0000D66D3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599" name="$AS$116">
            <a:extLst>
              <a:ext uri="{FF2B5EF4-FFF2-40B4-BE49-F238E27FC236}">
                <a16:creationId xmlns:a16="http://schemas.microsoft.com/office/drawing/2014/main" id="{00000000-0008-0000-2100-0000D76D3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0" name="$AS$116">
            <a:extLst>
              <a:ext uri="{FF2B5EF4-FFF2-40B4-BE49-F238E27FC236}">
                <a16:creationId xmlns:a16="http://schemas.microsoft.com/office/drawing/2014/main" id="{00000000-0008-0000-2100-0000D86D37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1" name="$AS$116">
            <a:extLst>
              <a:ext uri="{FF2B5EF4-FFF2-40B4-BE49-F238E27FC236}">
                <a16:creationId xmlns:a16="http://schemas.microsoft.com/office/drawing/2014/main" id="{00000000-0008-0000-2100-0000D96D3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2" name="$AS$116">
            <a:extLst>
              <a:ext uri="{FF2B5EF4-FFF2-40B4-BE49-F238E27FC236}">
                <a16:creationId xmlns:a16="http://schemas.microsoft.com/office/drawing/2014/main" id="{00000000-0008-0000-2100-0000DA6D3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3" name="$AS$116">
            <a:extLst>
              <a:ext uri="{FF2B5EF4-FFF2-40B4-BE49-F238E27FC236}">
                <a16:creationId xmlns:a16="http://schemas.microsoft.com/office/drawing/2014/main" id="{00000000-0008-0000-2100-0000DB6D37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4" name="$AS$116">
            <a:extLst>
              <a:ext uri="{FF2B5EF4-FFF2-40B4-BE49-F238E27FC236}">
                <a16:creationId xmlns:a16="http://schemas.microsoft.com/office/drawing/2014/main" id="{00000000-0008-0000-2100-0000DC6D37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5" name="$AS$116">
            <a:extLst>
              <a:ext uri="{FF2B5EF4-FFF2-40B4-BE49-F238E27FC236}">
                <a16:creationId xmlns:a16="http://schemas.microsoft.com/office/drawing/2014/main" id="{00000000-0008-0000-2100-0000DD6D37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6" name="$AS$116">
            <a:extLst>
              <a:ext uri="{FF2B5EF4-FFF2-40B4-BE49-F238E27FC236}">
                <a16:creationId xmlns:a16="http://schemas.microsoft.com/office/drawing/2014/main" id="{00000000-0008-0000-2100-0000DE6D37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7" name="$AS$116">
            <a:extLst>
              <a:ext uri="{FF2B5EF4-FFF2-40B4-BE49-F238E27FC236}">
                <a16:creationId xmlns:a16="http://schemas.microsoft.com/office/drawing/2014/main" id="{00000000-0008-0000-2100-0000DF6D37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8" name="$AS$116">
            <a:extLst>
              <a:ext uri="{FF2B5EF4-FFF2-40B4-BE49-F238E27FC236}">
                <a16:creationId xmlns:a16="http://schemas.microsoft.com/office/drawing/2014/main" id="{00000000-0008-0000-2100-0000E06D3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09" name="$AS$116">
            <a:extLst>
              <a:ext uri="{FF2B5EF4-FFF2-40B4-BE49-F238E27FC236}">
                <a16:creationId xmlns:a16="http://schemas.microsoft.com/office/drawing/2014/main" id="{00000000-0008-0000-2100-0000E16D3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0" name="$AS$116">
            <a:extLst>
              <a:ext uri="{FF2B5EF4-FFF2-40B4-BE49-F238E27FC236}">
                <a16:creationId xmlns:a16="http://schemas.microsoft.com/office/drawing/2014/main" id="{00000000-0008-0000-2100-0000E26D3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1" name="$AS$116">
            <a:extLst>
              <a:ext uri="{FF2B5EF4-FFF2-40B4-BE49-F238E27FC236}">
                <a16:creationId xmlns:a16="http://schemas.microsoft.com/office/drawing/2014/main" id="{00000000-0008-0000-2100-0000E36D3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2" name="$AS$116">
            <a:extLst>
              <a:ext uri="{FF2B5EF4-FFF2-40B4-BE49-F238E27FC236}">
                <a16:creationId xmlns:a16="http://schemas.microsoft.com/office/drawing/2014/main" id="{00000000-0008-0000-2100-0000E46D3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3" name="$AS$116">
            <a:extLst>
              <a:ext uri="{FF2B5EF4-FFF2-40B4-BE49-F238E27FC236}">
                <a16:creationId xmlns:a16="http://schemas.microsoft.com/office/drawing/2014/main" id="{00000000-0008-0000-2100-0000E56D37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4" name="$AS$116">
            <a:extLst>
              <a:ext uri="{FF2B5EF4-FFF2-40B4-BE49-F238E27FC236}">
                <a16:creationId xmlns:a16="http://schemas.microsoft.com/office/drawing/2014/main" id="{00000000-0008-0000-2100-0000E66D3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5" name="$AS$116">
            <a:extLst>
              <a:ext uri="{FF2B5EF4-FFF2-40B4-BE49-F238E27FC236}">
                <a16:creationId xmlns:a16="http://schemas.microsoft.com/office/drawing/2014/main" id="{00000000-0008-0000-2100-0000E76D3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6" name="$AS$116">
            <a:extLst>
              <a:ext uri="{FF2B5EF4-FFF2-40B4-BE49-F238E27FC236}">
                <a16:creationId xmlns:a16="http://schemas.microsoft.com/office/drawing/2014/main" id="{00000000-0008-0000-2100-0000E86D37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7" name="$AS$116">
            <a:extLst>
              <a:ext uri="{FF2B5EF4-FFF2-40B4-BE49-F238E27FC236}">
                <a16:creationId xmlns:a16="http://schemas.microsoft.com/office/drawing/2014/main" id="{00000000-0008-0000-2100-0000E96D3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8" name="$AS$116">
            <a:extLst>
              <a:ext uri="{FF2B5EF4-FFF2-40B4-BE49-F238E27FC236}">
                <a16:creationId xmlns:a16="http://schemas.microsoft.com/office/drawing/2014/main" id="{00000000-0008-0000-2100-0000EA6D37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19" name="$AS$116">
            <a:extLst>
              <a:ext uri="{FF2B5EF4-FFF2-40B4-BE49-F238E27FC236}">
                <a16:creationId xmlns:a16="http://schemas.microsoft.com/office/drawing/2014/main" id="{00000000-0008-0000-2100-0000EB6D3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0" name="$AS$116">
            <a:extLst>
              <a:ext uri="{FF2B5EF4-FFF2-40B4-BE49-F238E27FC236}">
                <a16:creationId xmlns:a16="http://schemas.microsoft.com/office/drawing/2014/main" id="{00000000-0008-0000-2100-0000EC6D37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1" name="$AS$116">
            <a:extLst>
              <a:ext uri="{FF2B5EF4-FFF2-40B4-BE49-F238E27FC236}">
                <a16:creationId xmlns:a16="http://schemas.microsoft.com/office/drawing/2014/main" id="{00000000-0008-0000-2100-0000ED6D37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2" name="$AS$116">
            <a:extLst>
              <a:ext uri="{FF2B5EF4-FFF2-40B4-BE49-F238E27FC236}">
                <a16:creationId xmlns:a16="http://schemas.microsoft.com/office/drawing/2014/main" id="{00000000-0008-0000-2100-0000EE6D37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3" name="$AS$116">
            <a:extLst>
              <a:ext uri="{FF2B5EF4-FFF2-40B4-BE49-F238E27FC236}">
                <a16:creationId xmlns:a16="http://schemas.microsoft.com/office/drawing/2014/main" id="{00000000-0008-0000-2100-0000EF6D37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4" name="$AS$116">
            <a:extLst>
              <a:ext uri="{FF2B5EF4-FFF2-40B4-BE49-F238E27FC236}">
                <a16:creationId xmlns:a16="http://schemas.microsoft.com/office/drawing/2014/main" id="{00000000-0008-0000-2100-0000F06D37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5" name="$AS$116">
            <a:extLst>
              <a:ext uri="{FF2B5EF4-FFF2-40B4-BE49-F238E27FC236}">
                <a16:creationId xmlns:a16="http://schemas.microsoft.com/office/drawing/2014/main" id="{00000000-0008-0000-2100-0000F16D3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6" name="$AS$116">
            <a:extLst>
              <a:ext uri="{FF2B5EF4-FFF2-40B4-BE49-F238E27FC236}">
                <a16:creationId xmlns:a16="http://schemas.microsoft.com/office/drawing/2014/main" id="{00000000-0008-0000-2100-0000F26D3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7" name="$AS$116">
            <a:extLst>
              <a:ext uri="{FF2B5EF4-FFF2-40B4-BE49-F238E27FC236}">
                <a16:creationId xmlns:a16="http://schemas.microsoft.com/office/drawing/2014/main" id="{00000000-0008-0000-2100-0000F36D3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8" name="$AS$116">
            <a:extLst>
              <a:ext uri="{FF2B5EF4-FFF2-40B4-BE49-F238E27FC236}">
                <a16:creationId xmlns:a16="http://schemas.microsoft.com/office/drawing/2014/main" id="{00000000-0008-0000-2100-0000F46D37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29" name="$AS$116">
            <a:extLst>
              <a:ext uri="{FF2B5EF4-FFF2-40B4-BE49-F238E27FC236}">
                <a16:creationId xmlns:a16="http://schemas.microsoft.com/office/drawing/2014/main" id="{00000000-0008-0000-2100-0000F56D37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0" name="$AS$116">
            <a:extLst>
              <a:ext uri="{FF2B5EF4-FFF2-40B4-BE49-F238E27FC236}">
                <a16:creationId xmlns:a16="http://schemas.microsoft.com/office/drawing/2014/main" id="{00000000-0008-0000-2100-0000F66D37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1" name="$AS$116">
            <a:extLst>
              <a:ext uri="{FF2B5EF4-FFF2-40B4-BE49-F238E27FC236}">
                <a16:creationId xmlns:a16="http://schemas.microsoft.com/office/drawing/2014/main" id="{00000000-0008-0000-2100-0000F76D37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2" name="$AS$116">
            <a:extLst>
              <a:ext uri="{FF2B5EF4-FFF2-40B4-BE49-F238E27FC236}">
                <a16:creationId xmlns:a16="http://schemas.microsoft.com/office/drawing/2014/main" id="{00000000-0008-0000-2100-0000F86D3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3" name="$AS$116">
            <a:extLst>
              <a:ext uri="{FF2B5EF4-FFF2-40B4-BE49-F238E27FC236}">
                <a16:creationId xmlns:a16="http://schemas.microsoft.com/office/drawing/2014/main" id="{00000000-0008-0000-2100-0000F96D3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4" name="$AS$116">
            <a:extLst>
              <a:ext uri="{FF2B5EF4-FFF2-40B4-BE49-F238E27FC236}">
                <a16:creationId xmlns:a16="http://schemas.microsoft.com/office/drawing/2014/main" id="{00000000-0008-0000-2100-0000FA6D3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5" name="$AS$116">
            <a:extLst>
              <a:ext uri="{FF2B5EF4-FFF2-40B4-BE49-F238E27FC236}">
                <a16:creationId xmlns:a16="http://schemas.microsoft.com/office/drawing/2014/main" id="{00000000-0008-0000-2100-0000FB6D3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6" name="$AS$116">
            <a:extLst>
              <a:ext uri="{FF2B5EF4-FFF2-40B4-BE49-F238E27FC236}">
                <a16:creationId xmlns:a16="http://schemas.microsoft.com/office/drawing/2014/main" id="{00000000-0008-0000-2100-0000FC6D3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7" name="$AS$116">
            <a:extLst>
              <a:ext uri="{FF2B5EF4-FFF2-40B4-BE49-F238E27FC236}">
                <a16:creationId xmlns:a16="http://schemas.microsoft.com/office/drawing/2014/main" id="{00000000-0008-0000-2100-0000FD6D3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8" name="$AS$116">
            <a:extLst>
              <a:ext uri="{FF2B5EF4-FFF2-40B4-BE49-F238E27FC236}">
                <a16:creationId xmlns:a16="http://schemas.microsoft.com/office/drawing/2014/main" id="{00000000-0008-0000-2100-0000FE6D3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39" name="$AS$116">
            <a:extLst>
              <a:ext uri="{FF2B5EF4-FFF2-40B4-BE49-F238E27FC236}">
                <a16:creationId xmlns:a16="http://schemas.microsoft.com/office/drawing/2014/main" id="{00000000-0008-0000-2100-0000FF6D3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0" name="$AS$116">
            <a:extLst>
              <a:ext uri="{FF2B5EF4-FFF2-40B4-BE49-F238E27FC236}">
                <a16:creationId xmlns:a16="http://schemas.microsoft.com/office/drawing/2014/main" id="{00000000-0008-0000-2100-0000006E3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1" name="$AS$116">
            <a:extLst>
              <a:ext uri="{FF2B5EF4-FFF2-40B4-BE49-F238E27FC236}">
                <a16:creationId xmlns:a16="http://schemas.microsoft.com/office/drawing/2014/main" id="{00000000-0008-0000-2100-0000016E3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2" name="$AS$116">
            <a:extLst>
              <a:ext uri="{FF2B5EF4-FFF2-40B4-BE49-F238E27FC236}">
                <a16:creationId xmlns:a16="http://schemas.microsoft.com/office/drawing/2014/main" id="{00000000-0008-0000-2100-0000026E3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3" name="$AS$116">
            <a:extLst>
              <a:ext uri="{FF2B5EF4-FFF2-40B4-BE49-F238E27FC236}">
                <a16:creationId xmlns:a16="http://schemas.microsoft.com/office/drawing/2014/main" id="{00000000-0008-0000-2100-0000036E3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4" name="$AS$116">
            <a:extLst>
              <a:ext uri="{FF2B5EF4-FFF2-40B4-BE49-F238E27FC236}">
                <a16:creationId xmlns:a16="http://schemas.microsoft.com/office/drawing/2014/main" id="{00000000-0008-0000-2100-0000046E3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5" name="$AS$116">
            <a:extLst>
              <a:ext uri="{FF2B5EF4-FFF2-40B4-BE49-F238E27FC236}">
                <a16:creationId xmlns:a16="http://schemas.microsoft.com/office/drawing/2014/main" id="{00000000-0008-0000-2100-0000056E3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6" name="$AS$116">
            <a:extLst>
              <a:ext uri="{FF2B5EF4-FFF2-40B4-BE49-F238E27FC236}">
                <a16:creationId xmlns:a16="http://schemas.microsoft.com/office/drawing/2014/main" id="{00000000-0008-0000-2100-0000066E37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7" name="$AS$116">
            <a:extLst>
              <a:ext uri="{FF2B5EF4-FFF2-40B4-BE49-F238E27FC236}">
                <a16:creationId xmlns:a16="http://schemas.microsoft.com/office/drawing/2014/main" id="{00000000-0008-0000-2100-0000076E37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8" name="$AS$116">
            <a:extLst>
              <a:ext uri="{FF2B5EF4-FFF2-40B4-BE49-F238E27FC236}">
                <a16:creationId xmlns:a16="http://schemas.microsoft.com/office/drawing/2014/main" id="{00000000-0008-0000-2100-0000086E37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49" name="$AS$116">
            <a:extLst>
              <a:ext uri="{FF2B5EF4-FFF2-40B4-BE49-F238E27FC236}">
                <a16:creationId xmlns:a16="http://schemas.microsoft.com/office/drawing/2014/main" id="{00000000-0008-0000-2100-0000096E37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0" name="$AS$116">
            <a:extLst>
              <a:ext uri="{FF2B5EF4-FFF2-40B4-BE49-F238E27FC236}">
                <a16:creationId xmlns:a16="http://schemas.microsoft.com/office/drawing/2014/main" id="{00000000-0008-0000-2100-00000A6E37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1" name="$AS$116">
            <a:extLst>
              <a:ext uri="{FF2B5EF4-FFF2-40B4-BE49-F238E27FC236}">
                <a16:creationId xmlns:a16="http://schemas.microsoft.com/office/drawing/2014/main" id="{00000000-0008-0000-2100-00000B6E37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2" name="$AS$116">
            <a:extLst>
              <a:ext uri="{FF2B5EF4-FFF2-40B4-BE49-F238E27FC236}">
                <a16:creationId xmlns:a16="http://schemas.microsoft.com/office/drawing/2014/main" id="{00000000-0008-0000-2100-00000C6E37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3" name="$AS$116">
            <a:extLst>
              <a:ext uri="{FF2B5EF4-FFF2-40B4-BE49-F238E27FC236}">
                <a16:creationId xmlns:a16="http://schemas.microsoft.com/office/drawing/2014/main" id="{00000000-0008-0000-2100-00000D6E3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4" name="$AS$116">
            <a:extLst>
              <a:ext uri="{FF2B5EF4-FFF2-40B4-BE49-F238E27FC236}">
                <a16:creationId xmlns:a16="http://schemas.microsoft.com/office/drawing/2014/main" id="{00000000-0008-0000-2100-00000E6E37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5" name="$AS$116">
            <a:extLst>
              <a:ext uri="{FF2B5EF4-FFF2-40B4-BE49-F238E27FC236}">
                <a16:creationId xmlns:a16="http://schemas.microsoft.com/office/drawing/2014/main" id="{00000000-0008-0000-2100-00000F6E3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6" name="$AS$116">
            <a:extLst>
              <a:ext uri="{FF2B5EF4-FFF2-40B4-BE49-F238E27FC236}">
                <a16:creationId xmlns:a16="http://schemas.microsoft.com/office/drawing/2014/main" id="{00000000-0008-0000-2100-0000106E37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7" name="$AS$116">
            <a:extLst>
              <a:ext uri="{FF2B5EF4-FFF2-40B4-BE49-F238E27FC236}">
                <a16:creationId xmlns:a16="http://schemas.microsoft.com/office/drawing/2014/main" id="{00000000-0008-0000-2100-0000116E37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8" name="$AS$116">
            <a:extLst>
              <a:ext uri="{FF2B5EF4-FFF2-40B4-BE49-F238E27FC236}">
                <a16:creationId xmlns:a16="http://schemas.microsoft.com/office/drawing/2014/main" id="{00000000-0008-0000-2100-0000126E37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59" name="$AS$116">
            <a:extLst>
              <a:ext uri="{FF2B5EF4-FFF2-40B4-BE49-F238E27FC236}">
                <a16:creationId xmlns:a16="http://schemas.microsoft.com/office/drawing/2014/main" id="{00000000-0008-0000-2100-0000136E37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0" name="$AS$116">
            <a:extLst>
              <a:ext uri="{FF2B5EF4-FFF2-40B4-BE49-F238E27FC236}">
                <a16:creationId xmlns:a16="http://schemas.microsoft.com/office/drawing/2014/main" id="{00000000-0008-0000-2100-0000146E3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1" name="$AS$116">
            <a:extLst>
              <a:ext uri="{FF2B5EF4-FFF2-40B4-BE49-F238E27FC236}">
                <a16:creationId xmlns:a16="http://schemas.microsoft.com/office/drawing/2014/main" id="{00000000-0008-0000-2100-0000156E37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2" name="$AS$116">
            <a:extLst>
              <a:ext uri="{FF2B5EF4-FFF2-40B4-BE49-F238E27FC236}">
                <a16:creationId xmlns:a16="http://schemas.microsoft.com/office/drawing/2014/main" id="{00000000-0008-0000-2100-0000166E3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3" name="$AS$116">
            <a:extLst>
              <a:ext uri="{FF2B5EF4-FFF2-40B4-BE49-F238E27FC236}">
                <a16:creationId xmlns:a16="http://schemas.microsoft.com/office/drawing/2014/main" id="{00000000-0008-0000-2100-0000176E37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4" name="$AS$116">
            <a:extLst>
              <a:ext uri="{FF2B5EF4-FFF2-40B4-BE49-F238E27FC236}">
                <a16:creationId xmlns:a16="http://schemas.microsoft.com/office/drawing/2014/main" id="{00000000-0008-0000-2100-0000186E3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5" name="$AS$116">
            <a:extLst>
              <a:ext uri="{FF2B5EF4-FFF2-40B4-BE49-F238E27FC236}">
                <a16:creationId xmlns:a16="http://schemas.microsoft.com/office/drawing/2014/main" id="{00000000-0008-0000-2100-0000196E3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6" name="$AS$116">
            <a:extLst>
              <a:ext uri="{FF2B5EF4-FFF2-40B4-BE49-F238E27FC236}">
                <a16:creationId xmlns:a16="http://schemas.microsoft.com/office/drawing/2014/main" id="{00000000-0008-0000-2100-00001A6E3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7" name="$AS$116">
            <a:extLst>
              <a:ext uri="{FF2B5EF4-FFF2-40B4-BE49-F238E27FC236}">
                <a16:creationId xmlns:a16="http://schemas.microsoft.com/office/drawing/2014/main" id="{00000000-0008-0000-2100-00001B6E37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8" name="$AS$116">
            <a:extLst>
              <a:ext uri="{FF2B5EF4-FFF2-40B4-BE49-F238E27FC236}">
                <a16:creationId xmlns:a16="http://schemas.microsoft.com/office/drawing/2014/main" id="{00000000-0008-0000-2100-00001C6E3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69" name="$AS$116">
            <a:extLst>
              <a:ext uri="{FF2B5EF4-FFF2-40B4-BE49-F238E27FC236}">
                <a16:creationId xmlns:a16="http://schemas.microsoft.com/office/drawing/2014/main" id="{00000000-0008-0000-2100-00001D6E3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0" name="$AS$116">
            <a:extLst>
              <a:ext uri="{FF2B5EF4-FFF2-40B4-BE49-F238E27FC236}">
                <a16:creationId xmlns:a16="http://schemas.microsoft.com/office/drawing/2014/main" id="{00000000-0008-0000-2100-00001E6E37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1" name="$AS$116">
            <a:extLst>
              <a:ext uri="{FF2B5EF4-FFF2-40B4-BE49-F238E27FC236}">
                <a16:creationId xmlns:a16="http://schemas.microsoft.com/office/drawing/2014/main" id="{00000000-0008-0000-2100-00001F6E37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2" name="$AS$116">
            <a:extLst>
              <a:ext uri="{FF2B5EF4-FFF2-40B4-BE49-F238E27FC236}">
                <a16:creationId xmlns:a16="http://schemas.microsoft.com/office/drawing/2014/main" id="{00000000-0008-0000-2100-0000206E37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3" name="$AS$116">
            <a:extLst>
              <a:ext uri="{FF2B5EF4-FFF2-40B4-BE49-F238E27FC236}">
                <a16:creationId xmlns:a16="http://schemas.microsoft.com/office/drawing/2014/main" id="{00000000-0008-0000-2100-0000216E37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4" name="$AS$116">
            <a:extLst>
              <a:ext uri="{FF2B5EF4-FFF2-40B4-BE49-F238E27FC236}">
                <a16:creationId xmlns:a16="http://schemas.microsoft.com/office/drawing/2014/main" id="{00000000-0008-0000-2100-0000226E3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5" name="$AS$116">
            <a:extLst>
              <a:ext uri="{FF2B5EF4-FFF2-40B4-BE49-F238E27FC236}">
                <a16:creationId xmlns:a16="http://schemas.microsoft.com/office/drawing/2014/main" id="{00000000-0008-0000-2100-0000236E37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6" name="$AS$116">
            <a:extLst>
              <a:ext uri="{FF2B5EF4-FFF2-40B4-BE49-F238E27FC236}">
                <a16:creationId xmlns:a16="http://schemas.microsoft.com/office/drawing/2014/main" id="{00000000-0008-0000-2100-0000246E37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7" name="$AS$116">
            <a:extLst>
              <a:ext uri="{FF2B5EF4-FFF2-40B4-BE49-F238E27FC236}">
                <a16:creationId xmlns:a16="http://schemas.microsoft.com/office/drawing/2014/main" id="{00000000-0008-0000-2100-0000256E37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8" name="$AS$116">
            <a:extLst>
              <a:ext uri="{FF2B5EF4-FFF2-40B4-BE49-F238E27FC236}">
                <a16:creationId xmlns:a16="http://schemas.microsoft.com/office/drawing/2014/main" id="{00000000-0008-0000-2100-0000266E37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79" name="$AS$116">
            <a:extLst>
              <a:ext uri="{FF2B5EF4-FFF2-40B4-BE49-F238E27FC236}">
                <a16:creationId xmlns:a16="http://schemas.microsoft.com/office/drawing/2014/main" id="{00000000-0008-0000-2100-0000276E3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0" name="$AS$116">
            <a:extLst>
              <a:ext uri="{FF2B5EF4-FFF2-40B4-BE49-F238E27FC236}">
                <a16:creationId xmlns:a16="http://schemas.microsoft.com/office/drawing/2014/main" id="{00000000-0008-0000-2100-0000286E3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1" name="$AS$116">
            <a:extLst>
              <a:ext uri="{FF2B5EF4-FFF2-40B4-BE49-F238E27FC236}">
                <a16:creationId xmlns:a16="http://schemas.microsoft.com/office/drawing/2014/main" id="{00000000-0008-0000-2100-0000296E3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2" name="$AS$116">
            <a:extLst>
              <a:ext uri="{FF2B5EF4-FFF2-40B4-BE49-F238E27FC236}">
                <a16:creationId xmlns:a16="http://schemas.microsoft.com/office/drawing/2014/main" id="{00000000-0008-0000-2100-00002A6E37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3" name="$AS$116">
            <a:extLst>
              <a:ext uri="{FF2B5EF4-FFF2-40B4-BE49-F238E27FC236}">
                <a16:creationId xmlns:a16="http://schemas.microsoft.com/office/drawing/2014/main" id="{00000000-0008-0000-2100-00002B6E37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4" name="$AS$116">
            <a:extLst>
              <a:ext uri="{FF2B5EF4-FFF2-40B4-BE49-F238E27FC236}">
                <a16:creationId xmlns:a16="http://schemas.microsoft.com/office/drawing/2014/main" id="{00000000-0008-0000-2100-00002C6E37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5" name="$AS$116">
            <a:extLst>
              <a:ext uri="{FF2B5EF4-FFF2-40B4-BE49-F238E27FC236}">
                <a16:creationId xmlns:a16="http://schemas.microsoft.com/office/drawing/2014/main" id="{00000000-0008-0000-2100-00002D6E37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6" name="$AS$116">
            <a:extLst>
              <a:ext uri="{FF2B5EF4-FFF2-40B4-BE49-F238E27FC236}">
                <a16:creationId xmlns:a16="http://schemas.microsoft.com/office/drawing/2014/main" id="{00000000-0008-0000-2100-00002E6E3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7" name="$AS$116">
            <a:extLst>
              <a:ext uri="{FF2B5EF4-FFF2-40B4-BE49-F238E27FC236}">
                <a16:creationId xmlns:a16="http://schemas.microsoft.com/office/drawing/2014/main" id="{00000000-0008-0000-2100-00002F6E3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8" name="$AS$116">
            <a:extLst>
              <a:ext uri="{FF2B5EF4-FFF2-40B4-BE49-F238E27FC236}">
                <a16:creationId xmlns:a16="http://schemas.microsoft.com/office/drawing/2014/main" id="{00000000-0008-0000-2100-0000306E3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89" name="$AS$116">
            <a:extLst>
              <a:ext uri="{FF2B5EF4-FFF2-40B4-BE49-F238E27FC236}">
                <a16:creationId xmlns:a16="http://schemas.microsoft.com/office/drawing/2014/main" id="{00000000-0008-0000-2100-0000316E3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0" name="$AS$116">
            <a:extLst>
              <a:ext uri="{FF2B5EF4-FFF2-40B4-BE49-F238E27FC236}">
                <a16:creationId xmlns:a16="http://schemas.microsoft.com/office/drawing/2014/main" id="{00000000-0008-0000-2100-0000326E3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1" name="$AS$116">
            <a:extLst>
              <a:ext uri="{FF2B5EF4-FFF2-40B4-BE49-F238E27FC236}">
                <a16:creationId xmlns:a16="http://schemas.microsoft.com/office/drawing/2014/main" id="{00000000-0008-0000-2100-0000336E37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2" name="$AS$116">
            <a:extLst>
              <a:ext uri="{FF2B5EF4-FFF2-40B4-BE49-F238E27FC236}">
                <a16:creationId xmlns:a16="http://schemas.microsoft.com/office/drawing/2014/main" id="{00000000-0008-0000-2100-0000346E3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3" name="$AS$116">
            <a:extLst>
              <a:ext uri="{FF2B5EF4-FFF2-40B4-BE49-F238E27FC236}">
                <a16:creationId xmlns:a16="http://schemas.microsoft.com/office/drawing/2014/main" id="{00000000-0008-0000-2100-0000356E37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4" name="$AS$116">
            <a:extLst>
              <a:ext uri="{FF2B5EF4-FFF2-40B4-BE49-F238E27FC236}">
                <a16:creationId xmlns:a16="http://schemas.microsoft.com/office/drawing/2014/main" id="{00000000-0008-0000-2100-0000366E37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5" name="$AS$116">
            <a:extLst>
              <a:ext uri="{FF2B5EF4-FFF2-40B4-BE49-F238E27FC236}">
                <a16:creationId xmlns:a16="http://schemas.microsoft.com/office/drawing/2014/main" id="{00000000-0008-0000-2100-0000376E37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6" name="$AS$116">
            <a:extLst>
              <a:ext uri="{FF2B5EF4-FFF2-40B4-BE49-F238E27FC236}">
                <a16:creationId xmlns:a16="http://schemas.microsoft.com/office/drawing/2014/main" id="{00000000-0008-0000-2100-0000386E37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7" name="$AS$116">
            <a:extLst>
              <a:ext uri="{FF2B5EF4-FFF2-40B4-BE49-F238E27FC236}">
                <a16:creationId xmlns:a16="http://schemas.microsoft.com/office/drawing/2014/main" id="{00000000-0008-0000-2100-0000396E37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8" name="$AS$116">
            <a:extLst>
              <a:ext uri="{FF2B5EF4-FFF2-40B4-BE49-F238E27FC236}">
                <a16:creationId xmlns:a16="http://schemas.microsoft.com/office/drawing/2014/main" id="{00000000-0008-0000-2100-00003A6E37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699" name="$AS$116">
            <a:extLst>
              <a:ext uri="{FF2B5EF4-FFF2-40B4-BE49-F238E27FC236}">
                <a16:creationId xmlns:a16="http://schemas.microsoft.com/office/drawing/2014/main" id="{00000000-0008-0000-2100-00003B6E37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0" name="$AS$116">
            <a:extLst>
              <a:ext uri="{FF2B5EF4-FFF2-40B4-BE49-F238E27FC236}">
                <a16:creationId xmlns:a16="http://schemas.microsoft.com/office/drawing/2014/main" id="{00000000-0008-0000-2100-00003C6E37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1" name="$AS$116">
            <a:extLst>
              <a:ext uri="{FF2B5EF4-FFF2-40B4-BE49-F238E27FC236}">
                <a16:creationId xmlns:a16="http://schemas.microsoft.com/office/drawing/2014/main" id="{00000000-0008-0000-2100-00003D6E37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2" name="$AS$116">
            <a:extLst>
              <a:ext uri="{FF2B5EF4-FFF2-40B4-BE49-F238E27FC236}">
                <a16:creationId xmlns:a16="http://schemas.microsoft.com/office/drawing/2014/main" id="{00000000-0008-0000-2100-00003E6E37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3" name="$AS$116">
            <a:extLst>
              <a:ext uri="{FF2B5EF4-FFF2-40B4-BE49-F238E27FC236}">
                <a16:creationId xmlns:a16="http://schemas.microsoft.com/office/drawing/2014/main" id="{00000000-0008-0000-2100-00003F6E3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4" name="$AS$116">
            <a:extLst>
              <a:ext uri="{FF2B5EF4-FFF2-40B4-BE49-F238E27FC236}">
                <a16:creationId xmlns:a16="http://schemas.microsoft.com/office/drawing/2014/main" id="{00000000-0008-0000-2100-0000406E37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5" name="$AS$116">
            <a:extLst>
              <a:ext uri="{FF2B5EF4-FFF2-40B4-BE49-F238E27FC236}">
                <a16:creationId xmlns:a16="http://schemas.microsoft.com/office/drawing/2014/main" id="{00000000-0008-0000-2100-0000416E37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6" name="$AS$116">
            <a:extLst>
              <a:ext uri="{FF2B5EF4-FFF2-40B4-BE49-F238E27FC236}">
                <a16:creationId xmlns:a16="http://schemas.microsoft.com/office/drawing/2014/main" id="{00000000-0008-0000-2100-0000426E37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7" name="$AS$116">
            <a:extLst>
              <a:ext uri="{FF2B5EF4-FFF2-40B4-BE49-F238E27FC236}">
                <a16:creationId xmlns:a16="http://schemas.microsoft.com/office/drawing/2014/main" id="{00000000-0008-0000-2100-0000436E37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8" name="$AS$116">
            <a:extLst>
              <a:ext uri="{FF2B5EF4-FFF2-40B4-BE49-F238E27FC236}">
                <a16:creationId xmlns:a16="http://schemas.microsoft.com/office/drawing/2014/main" id="{00000000-0008-0000-2100-0000446E3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09" name="$AS$116">
            <a:extLst>
              <a:ext uri="{FF2B5EF4-FFF2-40B4-BE49-F238E27FC236}">
                <a16:creationId xmlns:a16="http://schemas.microsoft.com/office/drawing/2014/main" id="{00000000-0008-0000-2100-0000456E37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0" name="$AS$116">
            <a:extLst>
              <a:ext uri="{FF2B5EF4-FFF2-40B4-BE49-F238E27FC236}">
                <a16:creationId xmlns:a16="http://schemas.microsoft.com/office/drawing/2014/main" id="{00000000-0008-0000-2100-0000466E3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1" name="$AS$116">
            <a:extLst>
              <a:ext uri="{FF2B5EF4-FFF2-40B4-BE49-F238E27FC236}">
                <a16:creationId xmlns:a16="http://schemas.microsoft.com/office/drawing/2014/main" id="{00000000-0008-0000-2100-0000476E37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2" name="$AS$116">
            <a:extLst>
              <a:ext uri="{FF2B5EF4-FFF2-40B4-BE49-F238E27FC236}">
                <a16:creationId xmlns:a16="http://schemas.microsoft.com/office/drawing/2014/main" id="{00000000-0008-0000-2100-0000486E37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3" name="$AS$116">
            <a:extLst>
              <a:ext uri="{FF2B5EF4-FFF2-40B4-BE49-F238E27FC236}">
                <a16:creationId xmlns:a16="http://schemas.microsoft.com/office/drawing/2014/main" id="{00000000-0008-0000-2100-0000496E37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4" name="$AS$116">
            <a:extLst>
              <a:ext uri="{FF2B5EF4-FFF2-40B4-BE49-F238E27FC236}">
                <a16:creationId xmlns:a16="http://schemas.microsoft.com/office/drawing/2014/main" id="{00000000-0008-0000-2100-00004A6E3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5" name="$AS$116">
            <a:extLst>
              <a:ext uri="{FF2B5EF4-FFF2-40B4-BE49-F238E27FC236}">
                <a16:creationId xmlns:a16="http://schemas.microsoft.com/office/drawing/2014/main" id="{00000000-0008-0000-2100-00004B6E37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6" name="$AS$116">
            <a:extLst>
              <a:ext uri="{FF2B5EF4-FFF2-40B4-BE49-F238E27FC236}">
                <a16:creationId xmlns:a16="http://schemas.microsoft.com/office/drawing/2014/main" id="{00000000-0008-0000-2100-00004C6E3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7" name="$AS$116">
            <a:extLst>
              <a:ext uri="{FF2B5EF4-FFF2-40B4-BE49-F238E27FC236}">
                <a16:creationId xmlns:a16="http://schemas.microsoft.com/office/drawing/2014/main" id="{00000000-0008-0000-2100-00004D6E37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8" name="$AS$116">
            <a:extLst>
              <a:ext uri="{FF2B5EF4-FFF2-40B4-BE49-F238E27FC236}">
                <a16:creationId xmlns:a16="http://schemas.microsoft.com/office/drawing/2014/main" id="{00000000-0008-0000-2100-00004E6E3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19" name="$AS$116">
            <a:extLst>
              <a:ext uri="{FF2B5EF4-FFF2-40B4-BE49-F238E27FC236}">
                <a16:creationId xmlns:a16="http://schemas.microsoft.com/office/drawing/2014/main" id="{00000000-0008-0000-2100-00004F6E37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0" name="$AS$116">
            <a:extLst>
              <a:ext uri="{FF2B5EF4-FFF2-40B4-BE49-F238E27FC236}">
                <a16:creationId xmlns:a16="http://schemas.microsoft.com/office/drawing/2014/main" id="{00000000-0008-0000-2100-0000506E3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1" name="$AS$116">
            <a:extLst>
              <a:ext uri="{FF2B5EF4-FFF2-40B4-BE49-F238E27FC236}">
                <a16:creationId xmlns:a16="http://schemas.microsoft.com/office/drawing/2014/main" id="{00000000-0008-0000-2100-0000516E37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2" name="$AS$116">
            <a:extLst>
              <a:ext uri="{FF2B5EF4-FFF2-40B4-BE49-F238E27FC236}">
                <a16:creationId xmlns:a16="http://schemas.microsoft.com/office/drawing/2014/main" id="{00000000-0008-0000-2100-0000526E37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3" name="$AS$116">
            <a:extLst>
              <a:ext uri="{FF2B5EF4-FFF2-40B4-BE49-F238E27FC236}">
                <a16:creationId xmlns:a16="http://schemas.microsoft.com/office/drawing/2014/main" id="{00000000-0008-0000-2100-0000536E3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4" name="$AS$116">
            <a:extLst>
              <a:ext uri="{FF2B5EF4-FFF2-40B4-BE49-F238E27FC236}">
                <a16:creationId xmlns:a16="http://schemas.microsoft.com/office/drawing/2014/main" id="{00000000-0008-0000-2100-0000546E37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5" name="$AS$116">
            <a:extLst>
              <a:ext uri="{FF2B5EF4-FFF2-40B4-BE49-F238E27FC236}">
                <a16:creationId xmlns:a16="http://schemas.microsoft.com/office/drawing/2014/main" id="{00000000-0008-0000-2100-0000556E37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6" name="$AS$116">
            <a:extLst>
              <a:ext uri="{FF2B5EF4-FFF2-40B4-BE49-F238E27FC236}">
                <a16:creationId xmlns:a16="http://schemas.microsoft.com/office/drawing/2014/main" id="{00000000-0008-0000-2100-0000566E37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7" name="$AS$116">
            <a:extLst>
              <a:ext uri="{FF2B5EF4-FFF2-40B4-BE49-F238E27FC236}">
                <a16:creationId xmlns:a16="http://schemas.microsoft.com/office/drawing/2014/main" id="{00000000-0008-0000-2100-0000576E37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8" name="$AS$116">
            <a:extLst>
              <a:ext uri="{FF2B5EF4-FFF2-40B4-BE49-F238E27FC236}">
                <a16:creationId xmlns:a16="http://schemas.microsoft.com/office/drawing/2014/main" id="{00000000-0008-0000-2100-0000586E37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29" name="$AS$116">
            <a:extLst>
              <a:ext uri="{FF2B5EF4-FFF2-40B4-BE49-F238E27FC236}">
                <a16:creationId xmlns:a16="http://schemas.microsoft.com/office/drawing/2014/main" id="{00000000-0008-0000-2100-0000596E37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0" name="$AS$116">
            <a:extLst>
              <a:ext uri="{FF2B5EF4-FFF2-40B4-BE49-F238E27FC236}">
                <a16:creationId xmlns:a16="http://schemas.microsoft.com/office/drawing/2014/main" id="{00000000-0008-0000-2100-00005A6E3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1" name="$AS$116">
            <a:extLst>
              <a:ext uri="{FF2B5EF4-FFF2-40B4-BE49-F238E27FC236}">
                <a16:creationId xmlns:a16="http://schemas.microsoft.com/office/drawing/2014/main" id="{00000000-0008-0000-2100-00005B6E37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2" name="$AS$116">
            <a:extLst>
              <a:ext uri="{FF2B5EF4-FFF2-40B4-BE49-F238E27FC236}">
                <a16:creationId xmlns:a16="http://schemas.microsoft.com/office/drawing/2014/main" id="{00000000-0008-0000-2100-00005C6E3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3" name="$AS$116">
            <a:extLst>
              <a:ext uri="{FF2B5EF4-FFF2-40B4-BE49-F238E27FC236}">
                <a16:creationId xmlns:a16="http://schemas.microsoft.com/office/drawing/2014/main" id="{00000000-0008-0000-2100-00005D6E37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4" name="$AS$116">
            <a:extLst>
              <a:ext uri="{FF2B5EF4-FFF2-40B4-BE49-F238E27FC236}">
                <a16:creationId xmlns:a16="http://schemas.microsoft.com/office/drawing/2014/main" id="{00000000-0008-0000-2100-00005E6E3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5" name="$AS$116">
            <a:extLst>
              <a:ext uri="{FF2B5EF4-FFF2-40B4-BE49-F238E27FC236}">
                <a16:creationId xmlns:a16="http://schemas.microsoft.com/office/drawing/2014/main" id="{00000000-0008-0000-2100-00005F6E3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6" name="$AS$116">
            <a:extLst>
              <a:ext uri="{FF2B5EF4-FFF2-40B4-BE49-F238E27FC236}">
                <a16:creationId xmlns:a16="http://schemas.microsoft.com/office/drawing/2014/main" id="{00000000-0008-0000-2100-0000606E3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7" name="$AS$116">
            <a:extLst>
              <a:ext uri="{FF2B5EF4-FFF2-40B4-BE49-F238E27FC236}">
                <a16:creationId xmlns:a16="http://schemas.microsoft.com/office/drawing/2014/main" id="{00000000-0008-0000-2100-0000616E3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8" name="$AS$116">
            <a:extLst>
              <a:ext uri="{FF2B5EF4-FFF2-40B4-BE49-F238E27FC236}">
                <a16:creationId xmlns:a16="http://schemas.microsoft.com/office/drawing/2014/main" id="{00000000-0008-0000-2100-0000626E37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39" name="$AS$116">
            <a:extLst>
              <a:ext uri="{FF2B5EF4-FFF2-40B4-BE49-F238E27FC236}">
                <a16:creationId xmlns:a16="http://schemas.microsoft.com/office/drawing/2014/main" id="{00000000-0008-0000-2100-0000636E37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0" name="$AS$116">
            <a:extLst>
              <a:ext uri="{FF2B5EF4-FFF2-40B4-BE49-F238E27FC236}">
                <a16:creationId xmlns:a16="http://schemas.microsoft.com/office/drawing/2014/main" id="{00000000-0008-0000-2100-0000646E37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1" name="$AS$116">
            <a:extLst>
              <a:ext uri="{FF2B5EF4-FFF2-40B4-BE49-F238E27FC236}">
                <a16:creationId xmlns:a16="http://schemas.microsoft.com/office/drawing/2014/main" id="{00000000-0008-0000-2100-0000656E3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2" name="$AS$116">
            <a:extLst>
              <a:ext uri="{FF2B5EF4-FFF2-40B4-BE49-F238E27FC236}">
                <a16:creationId xmlns:a16="http://schemas.microsoft.com/office/drawing/2014/main" id="{00000000-0008-0000-2100-0000666E3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3" name="$AS$116">
            <a:extLst>
              <a:ext uri="{FF2B5EF4-FFF2-40B4-BE49-F238E27FC236}">
                <a16:creationId xmlns:a16="http://schemas.microsoft.com/office/drawing/2014/main" id="{00000000-0008-0000-2100-0000676E3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4" name="$AS$116">
            <a:extLst>
              <a:ext uri="{FF2B5EF4-FFF2-40B4-BE49-F238E27FC236}">
                <a16:creationId xmlns:a16="http://schemas.microsoft.com/office/drawing/2014/main" id="{00000000-0008-0000-2100-0000686E37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5" name="$AS$116">
            <a:extLst>
              <a:ext uri="{FF2B5EF4-FFF2-40B4-BE49-F238E27FC236}">
                <a16:creationId xmlns:a16="http://schemas.microsoft.com/office/drawing/2014/main" id="{00000000-0008-0000-2100-0000696E37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6" name="$AS$116">
            <a:extLst>
              <a:ext uri="{FF2B5EF4-FFF2-40B4-BE49-F238E27FC236}">
                <a16:creationId xmlns:a16="http://schemas.microsoft.com/office/drawing/2014/main" id="{00000000-0008-0000-2100-00006A6E37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7" name="$AS$116">
            <a:extLst>
              <a:ext uri="{FF2B5EF4-FFF2-40B4-BE49-F238E27FC236}">
                <a16:creationId xmlns:a16="http://schemas.microsoft.com/office/drawing/2014/main" id="{00000000-0008-0000-2100-00006B6E3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8" name="$AS$116">
            <a:extLst>
              <a:ext uri="{FF2B5EF4-FFF2-40B4-BE49-F238E27FC236}">
                <a16:creationId xmlns:a16="http://schemas.microsoft.com/office/drawing/2014/main" id="{00000000-0008-0000-2100-00006C6E37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49" name="$AS$116">
            <a:extLst>
              <a:ext uri="{FF2B5EF4-FFF2-40B4-BE49-F238E27FC236}">
                <a16:creationId xmlns:a16="http://schemas.microsoft.com/office/drawing/2014/main" id="{00000000-0008-0000-2100-00006D6E3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0" name="$AS$116">
            <a:extLst>
              <a:ext uri="{FF2B5EF4-FFF2-40B4-BE49-F238E27FC236}">
                <a16:creationId xmlns:a16="http://schemas.microsoft.com/office/drawing/2014/main" id="{00000000-0008-0000-2100-00006E6E3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1" name="$AS$116">
            <a:extLst>
              <a:ext uri="{FF2B5EF4-FFF2-40B4-BE49-F238E27FC236}">
                <a16:creationId xmlns:a16="http://schemas.microsoft.com/office/drawing/2014/main" id="{00000000-0008-0000-2100-00006F6E37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2" name="$AS$116">
            <a:extLst>
              <a:ext uri="{FF2B5EF4-FFF2-40B4-BE49-F238E27FC236}">
                <a16:creationId xmlns:a16="http://schemas.microsoft.com/office/drawing/2014/main" id="{00000000-0008-0000-2100-0000706E37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3" name="$AS$116">
            <a:extLst>
              <a:ext uri="{FF2B5EF4-FFF2-40B4-BE49-F238E27FC236}">
                <a16:creationId xmlns:a16="http://schemas.microsoft.com/office/drawing/2014/main" id="{00000000-0008-0000-2100-0000716E37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4" name="$AS$116">
            <a:extLst>
              <a:ext uri="{FF2B5EF4-FFF2-40B4-BE49-F238E27FC236}">
                <a16:creationId xmlns:a16="http://schemas.microsoft.com/office/drawing/2014/main" id="{00000000-0008-0000-2100-0000726E37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5" name="$AS$116">
            <a:extLst>
              <a:ext uri="{FF2B5EF4-FFF2-40B4-BE49-F238E27FC236}">
                <a16:creationId xmlns:a16="http://schemas.microsoft.com/office/drawing/2014/main" id="{00000000-0008-0000-2100-0000736E37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6" name="$AS$116">
            <a:extLst>
              <a:ext uri="{FF2B5EF4-FFF2-40B4-BE49-F238E27FC236}">
                <a16:creationId xmlns:a16="http://schemas.microsoft.com/office/drawing/2014/main" id="{00000000-0008-0000-2100-0000746E37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7" name="$AS$116">
            <a:extLst>
              <a:ext uri="{FF2B5EF4-FFF2-40B4-BE49-F238E27FC236}">
                <a16:creationId xmlns:a16="http://schemas.microsoft.com/office/drawing/2014/main" id="{00000000-0008-0000-2100-0000756E37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8" name="$AS$116">
            <a:extLst>
              <a:ext uri="{FF2B5EF4-FFF2-40B4-BE49-F238E27FC236}">
                <a16:creationId xmlns:a16="http://schemas.microsoft.com/office/drawing/2014/main" id="{00000000-0008-0000-2100-0000766E37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59" name="$AS$116">
            <a:extLst>
              <a:ext uri="{FF2B5EF4-FFF2-40B4-BE49-F238E27FC236}">
                <a16:creationId xmlns:a16="http://schemas.microsoft.com/office/drawing/2014/main" id="{00000000-0008-0000-2100-0000776E37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0" name="$AS$116">
            <a:extLst>
              <a:ext uri="{FF2B5EF4-FFF2-40B4-BE49-F238E27FC236}">
                <a16:creationId xmlns:a16="http://schemas.microsoft.com/office/drawing/2014/main" id="{00000000-0008-0000-2100-0000786E37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1" name="$AS$116">
            <a:extLst>
              <a:ext uri="{FF2B5EF4-FFF2-40B4-BE49-F238E27FC236}">
                <a16:creationId xmlns:a16="http://schemas.microsoft.com/office/drawing/2014/main" id="{00000000-0008-0000-2100-0000796E37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2" name="$AS$116">
            <a:extLst>
              <a:ext uri="{FF2B5EF4-FFF2-40B4-BE49-F238E27FC236}">
                <a16:creationId xmlns:a16="http://schemas.microsoft.com/office/drawing/2014/main" id="{00000000-0008-0000-2100-00007A6E37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3" name="$AS$116">
            <a:extLst>
              <a:ext uri="{FF2B5EF4-FFF2-40B4-BE49-F238E27FC236}">
                <a16:creationId xmlns:a16="http://schemas.microsoft.com/office/drawing/2014/main" id="{00000000-0008-0000-2100-00007B6E37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4" name="$AS$116">
            <a:extLst>
              <a:ext uri="{FF2B5EF4-FFF2-40B4-BE49-F238E27FC236}">
                <a16:creationId xmlns:a16="http://schemas.microsoft.com/office/drawing/2014/main" id="{00000000-0008-0000-2100-00007C6E3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5" name="$AS$116">
            <a:extLst>
              <a:ext uri="{FF2B5EF4-FFF2-40B4-BE49-F238E27FC236}">
                <a16:creationId xmlns:a16="http://schemas.microsoft.com/office/drawing/2014/main" id="{00000000-0008-0000-2100-00007D6E37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6" name="$AS$116">
            <a:extLst>
              <a:ext uri="{FF2B5EF4-FFF2-40B4-BE49-F238E27FC236}">
                <a16:creationId xmlns:a16="http://schemas.microsoft.com/office/drawing/2014/main" id="{00000000-0008-0000-2100-00007E6E37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7" name="$AS$116">
            <a:extLst>
              <a:ext uri="{FF2B5EF4-FFF2-40B4-BE49-F238E27FC236}">
                <a16:creationId xmlns:a16="http://schemas.microsoft.com/office/drawing/2014/main" id="{00000000-0008-0000-2100-00007F6E37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8" name="$AS$116">
            <a:extLst>
              <a:ext uri="{FF2B5EF4-FFF2-40B4-BE49-F238E27FC236}">
                <a16:creationId xmlns:a16="http://schemas.microsoft.com/office/drawing/2014/main" id="{00000000-0008-0000-2100-0000806E37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69" name="$AS$116">
            <a:extLst>
              <a:ext uri="{FF2B5EF4-FFF2-40B4-BE49-F238E27FC236}">
                <a16:creationId xmlns:a16="http://schemas.microsoft.com/office/drawing/2014/main" id="{00000000-0008-0000-2100-0000816E37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0" name="$AS$116">
            <a:extLst>
              <a:ext uri="{FF2B5EF4-FFF2-40B4-BE49-F238E27FC236}">
                <a16:creationId xmlns:a16="http://schemas.microsoft.com/office/drawing/2014/main" id="{00000000-0008-0000-2100-0000826E3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1" name="$AS$116">
            <a:extLst>
              <a:ext uri="{FF2B5EF4-FFF2-40B4-BE49-F238E27FC236}">
                <a16:creationId xmlns:a16="http://schemas.microsoft.com/office/drawing/2014/main" id="{00000000-0008-0000-2100-0000836E37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2" name="$AS$116">
            <a:extLst>
              <a:ext uri="{FF2B5EF4-FFF2-40B4-BE49-F238E27FC236}">
                <a16:creationId xmlns:a16="http://schemas.microsoft.com/office/drawing/2014/main" id="{00000000-0008-0000-2100-0000846E3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3" name="$AS$116">
            <a:extLst>
              <a:ext uri="{FF2B5EF4-FFF2-40B4-BE49-F238E27FC236}">
                <a16:creationId xmlns:a16="http://schemas.microsoft.com/office/drawing/2014/main" id="{00000000-0008-0000-2100-0000856E3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4" name="$AS$116">
            <a:extLst>
              <a:ext uri="{FF2B5EF4-FFF2-40B4-BE49-F238E27FC236}">
                <a16:creationId xmlns:a16="http://schemas.microsoft.com/office/drawing/2014/main" id="{00000000-0008-0000-2100-0000866E37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5" name="$AS$116">
            <a:extLst>
              <a:ext uri="{FF2B5EF4-FFF2-40B4-BE49-F238E27FC236}">
                <a16:creationId xmlns:a16="http://schemas.microsoft.com/office/drawing/2014/main" id="{00000000-0008-0000-2100-0000876E3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6" name="$AS$116">
            <a:extLst>
              <a:ext uri="{FF2B5EF4-FFF2-40B4-BE49-F238E27FC236}">
                <a16:creationId xmlns:a16="http://schemas.microsoft.com/office/drawing/2014/main" id="{00000000-0008-0000-2100-0000886E3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7" name="$AS$116">
            <a:extLst>
              <a:ext uri="{FF2B5EF4-FFF2-40B4-BE49-F238E27FC236}">
                <a16:creationId xmlns:a16="http://schemas.microsoft.com/office/drawing/2014/main" id="{00000000-0008-0000-2100-0000896E3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8" name="$AS$116">
            <a:extLst>
              <a:ext uri="{FF2B5EF4-FFF2-40B4-BE49-F238E27FC236}">
                <a16:creationId xmlns:a16="http://schemas.microsoft.com/office/drawing/2014/main" id="{00000000-0008-0000-2100-00008A6E37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79" name="$AS$116">
            <a:extLst>
              <a:ext uri="{FF2B5EF4-FFF2-40B4-BE49-F238E27FC236}">
                <a16:creationId xmlns:a16="http://schemas.microsoft.com/office/drawing/2014/main" id="{00000000-0008-0000-2100-00008B6E37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0" name="$AS$116">
            <a:extLst>
              <a:ext uri="{FF2B5EF4-FFF2-40B4-BE49-F238E27FC236}">
                <a16:creationId xmlns:a16="http://schemas.microsoft.com/office/drawing/2014/main" id="{00000000-0008-0000-2100-00008C6E37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1" name="$AS$116">
            <a:extLst>
              <a:ext uri="{FF2B5EF4-FFF2-40B4-BE49-F238E27FC236}">
                <a16:creationId xmlns:a16="http://schemas.microsoft.com/office/drawing/2014/main" id="{00000000-0008-0000-2100-00008D6E37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2" name="$AS$116">
            <a:extLst>
              <a:ext uri="{FF2B5EF4-FFF2-40B4-BE49-F238E27FC236}">
                <a16:creationId xmlns:a16="http://schemas.microsoft.com/office/drawing/2014/main" id="{00000000-0008-0000-2100-00008E6E37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3" name="$AS$116">
            <a:extLst>
              <a:ext uri="{FF2B5EF4-FFF2-40B4-BE49-F238E27FC236}">
                <a16:creationId xmlns:a16="http://schemas.microsoft.com/office/drawing/2014/main" id="{00000000-0008-0000-2100-00008F6E37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4" name="$AS$116">
            <a:extLst>
              <a:ext uri="{FF2B5EF4-FFF2-40B4-BE49-F238E27FC236}">
                <a16:creationId xmlns:a16="http://schemas.microsoft.com/office/drawing/2014/main" id="{00000000-0008-0000-2100-0000906E37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5" name="$AS$116">
            <a:extLst>
              <a:ext uri="{FF2B5EF4-FFF2-40B4-BE49-F238E27FC236}">
                <a16:creationId xmlns:a16="http://schemas.microsoft.com/office/drawing/2014/main" id="{00000000-0008-0000-2100-0000916E37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6" name="$AS$116">
            <a:extLst>
              <a:ext uri="{FF2B5EF4-FFF2-40B4-BE49-F238E27FC236}">
                <a16:creationId xmlns:a16="http://schemas.microsoft.com/office/drawing/2014/main" id="{00000000-0008-0000-2100-0000926E3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7" name="$AS$116">
            <a:extLst>
              <a:ext uri="{FF2B5EF4-FFF2-40B4-BE49-F238E27FC236}">
                <a16:creationId xmlns:a16="http://schemas.microsoft.com/office/drawing/2014/main" id="{00000000-0008-0000-2100-0000936E37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8" name="$AS$116">
            <a:extLst>
              <a:ext uri="{FF2B5EF4-FFF2-40B4-BE49-F238E27FC236}">
                <a16:creationId xmlns:a16="http://schemas.microsoft.com/office/drawing/2014/main" id="{00000000-0008-0000-2100-0000946E37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89" name="$AS$116">
            <a:extLst>
              <a:ext uri="{FF2B5EF4-FFF2-40B4-BE49-F238E27FC236}">
                <a16:creationId xmlns:a16="http://schemas.microsoft.com/office/drawing/2014/main" id="{00000000-0008-0000-2100-0000956E3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0" name="$AS$116">
            <a:extLst>
              <a:ext uri="{FF2B5EF4-FFF2-40B4-BE49-F238E27FC236}">
                <a16:creationId xmlns:a16="http://schemas.microsoft.com/office/drawing/2014/main" id="{00000000-0008-0000-2100-0000966E37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1" name="$AS$116">
            <a:extLst>
              <a:ext uri="{FF2B5EF4-FFF2-40B4-BE49-F238E27FC236}">
                <a16:creationId xmlns:a16="http://schemas.microsoft.com/office/drawing/2014/main" id="{00000000-0008-0000-2100-0000976E37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2" name="$AS$116">
            <a:extLst>
              <a:ext uri="{FF2B5EF4-FFF2-40B4-BE49-F238E27FC236}">
                <a16:creationId xmlns:a16="http://schemas.microsoft.com/office/drawing/2014/main" id="{00000000-0008-0000-2100-0000986E3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3" name="$AS$116">
            <a:extLst>
              <a:ext uri="{FF2B5EF4-FFF2-40B4-BE49-F238E27FC236}">
                <a16:creationId xmlns:a16="http://schemas.microsoft.com/office/drawing/2014/main" id="{00000000-0008-0000-2100-0000996E37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4" name="$AS$116">
            <a:extLst>
              <a:ext uri="{FF2B5EF4-FFF2-40B4-BE49-F238E27FC236}">
                <a16:creationId xmlns:a16="http://schemas.microsoft.com/office/drawing/2014/main" id="{00000000-0008-0000-2100-00009A6E3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5" name="$AS$116">
            <a:extLst>
              <a:ext uri="{FF2B5EF4-FFF2-40B4-BE49-F238E27FC236}">
                <a16:creationId xmlns:a16="http://schemas.microsoft.com/office/drawing/2014/main" id="{00000000-0008-0000-2100-00009B6E3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6" name="$AS$116">
            <a:extLst>
              <a:ext uri="{FF2B5EF4-FFF2-40B4-BE49-F238E27FC236}">
                <a16:creationId xmlns:a16="http://schemas.microsoft.com/office/drawing/2014/main" id="{00000000-0008-0000-2100-00009C6E37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7" name="$AS$116">
            <a:extLst>
              <a:ext uri="{FF2B5EF4-FFF2-40B4-BE49-F238E27FC236}">
                <a16:creationId xmlns:a16="http://schemas.microsoft.com/office/drawing/2014/main" id="{00000000-0008-0000-2100-00009D6E37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8" name="$AS$116">
            <a:extLst>
              <a:ext uri="{FF2B5EF4-FFF2-40B4-BE49-F238E27FC236}">
                <a16:creationId xmlns:a16="http://schemas.microsoft.com/office/drawing/2014/main" id="{00000000-0008-0000-2100-00009E6E37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799" name="$AS$116">
            <a:extLst>
              <a:ext uri="{FF2B5EF4-FFF2-40B4-BE49-F238E27FC236}">
                <a16:creationId xmlns:a16="http://schemas.microsoft.com/office/drawing/2014/main" id="{00000000-0008-0000-2100-00009F6E37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0" name="$AS$116">
            <a:extLst>
              <a:ext uri="{FF2B5EF4-FFF2-40B4-BE49-F238E27FC236}">
                <a16:creationId xmlns:a16="http://schemas.microsoft.com/office/drawing/2014/main" id="{00000000-0008-0000-2100-0000A06E37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1" name="$AS$116">
            <a:extLst>
              <a:ext uri="{FF2B5EF4-FFF2-40B4-BE49-F238E27FC236}">
                <a16:creationId xmlns:a16="http://schemas.microsoft.com/office/drawing/2014/main" id="{00000000-0008-0000-2100-0000A16E37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2" name="$AS$116">
            <a:extLst>
              <a:ext uri="{FF2B5EF4-FFF2-40B4-BE49-F238E27FC236}">
                <a16:creationId xmlns:a16="http://schemas.microsoft.com/office/drawing/2014/main" id="{00000000-0008-0000-2100-0000A26E37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3" name="$AS$116">
            <a:extLst>
              <a:ext uri="{FF2B5EF4-FFF2-40B4-BE49-F238E27FC236}">
                <a16:creationId xmlns:a16="http://schemas.microsoft.com/office/drawing/2014/main" id="{00000000-0008-0000-2100-0000A36E3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4" name="$AS$116">
            <a:extLst>
              <a:ext uri="{FF2B5EF4-FFF2-40B4-BE49-F238E27FC236}">
                <a16:creationId xmlns:a16="http://schemas.microsoft.com/office/drawing/2014/main" id="{00000000-0008-0000-2100-0000A46E3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5" name="$AS$116">
            <a:extLst>
              <a:ext uri="{FF2B5EF4-FFF2-40B4-BE49-F238E27FC236}">
                <a16:creationId xmlns:a16="http://schemas.microsoft.com/office/drawing/2014/main" id="{00000000-0008-0000-2100-0000A56E3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6" name="$AS$116">
            <a:extLst>
              <a:ext uri="{FF2B5EF4-FFF2-40B4-BE49-F238E27FC236}">
                <a16:creationId xmlns:a16="http://schemas.microsoft.com/office/drawing/2014/main" id="{00000000-0008-0000-2100-0000A66E3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7" name="$AS$116">
            <a:extLst>
              <a:ext uri="{FF2B5EF4-FFF2-40B4-BE49-F238E27FC236}">
                <a16:creationId xmlns:a16="http://schemas.microsoft.com/office/drawing/2014/main" id="{00000000-0008-0000-2100-0000A76E3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8" name="$AS$116">
            <a:extLst>
              <a:ext uri="{FF2B5EF4-FFF2-40B4-BE49-F238E27FC236}">
                <a16:creationId xmlns:a16="http://schemas.microsoft.com/office/drawing/2014/main" id="{00000000-0008-0000-2100-0000A86E3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09" name="$AS$116">
            <a:extLst>
              <a:ext uri="{FF2B5EF4-FFF2-40B4-BE49-F238E27FC236}">
                <a16:creationId xmlns:a16="http://schemas.microsoft.com/office/drawing/2014/main" id="{00000000-0008-0000-2100-0000A96E3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0" name="$AS$116">
            <a:extLst>
              <a:ext uri="{FF2B5EF4-FFF2-40B4-BE49-F238E27FC236}">
                <a16:creationId xmlns:a16="http://schemas.microsoft.com/office/drawing/2014/main" id="{00000000-0008-0000-2100-0000AA6E37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1" name="$AS$116">
            <a:extLst>
              <a:ext uri="{FF2B5EF4-FFF2-40B4-BE49-F238E27FC236}">
                <a16:creationId xmlns:a16="http://schemas.microsoft.com/office/drawing/2014/main" id="{00000000-0008-0000-2100-0000AB6E3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2" name="$AS$116">
            <a:extLst>
              <a:ext uri="{FF2B5EF4-FFF2-40B4-BE49-F238E27FC236}">
                <a16:creationId xmlns:a16="http://schemas.microsoft.com/office/drawing/2014/main" id="{00000000-0008-0000-2100-0000AC6E37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3" name="$AS$116">
            <a:extLst>
              <a:ext uri="{FF2B5EF4-FFF2-40B4-BE49-F238E27FC236}">
                <a16:creationId xmlns:a16="http://schemas.microsoft.com/office/drawing/2014/main" id="{00000000-0008-0000-2100-0000AD6E37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4" name="$AS$116">
            <a:extLst>
              <a:ext uri="{FF2B5EF4-FFF2-40B4-BE49-F238E27FC236}">
                <a16:creationId xmlns:a16="http://schemas.microsoft.com/office/drawing/2014/main" id="{00000000-0008-0000-2100-0000AE6E37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5" name="$AS$116">
            <a:extLst>
              <a:ext uri="{FF2B5EF4-FFF2-40B4-BE49-F238E27FC236}">
                <a16:creationId xmlns:a16="http://schemas.microsoft.com/office/drawing/2014/main" id="{00000000-0008-0000-2100-0000AF6E37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6" name="$AS$116">
            <a:extLst>
              <a:ext uri="{FF2B5EF4-FFF2-40B4-BE49-F238E27FC236}">
                <a16:creationId xmlns:a16="http://schemas.microsoft.com/office/drawing/2014/main" id="{00000000-0008-0000-2100-0000B06E37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7" name="$AS$116">
            <a:extLst>
              <a:ext uri="{FF2B5EF4-FFF2-40B4-BE49-F238E27FC236}">
                <a16:creationId xmlns:a16="http://schemas.microsoft.com/office/drawing/2014/main" id="{00000000-0008-0000-2100-0000B16E37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8" name="$AS$116">
            <a:extLst>
              <a:ext uri="{FF2B5EF4-FFF2-40B4-BE49-F238E27FC236}">
                <a16:creationId xmlns:a16="http://schemas.microsoft.com/office/drawing/2014/main" id="{00000000-0008-0000-2100-0000B26E37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19" name="$AS$116">
            <a:extLst>
              <a:ext uri="{FF2B5EF4-FFF2-40B4-BE49-F238E27FC236}">
                <a16:creationId xmlns:a16="http://schemas.microsoft.com/office/drawing/2014/main" id="{00000000-0008-0000-2100-0000B36E37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0" name="$AS$116">
            <a:extLst>
              <a:ext uri="{FF2B5EF4-FFF2-40B4-BE49-F238E27FC236}">
                <a16:creationId xmlns:a16="http://schemas.microsoft.com/office/drawing/2014/main" id="{00000000-0008-0000-2100-0000B46E37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1" name="$AS$116">
            <a:extLst>
              <a:ext uri="{FF2B5EF4-FFF2-40B4-BE49-F238E27FC236}">
                <a16:creationId xmlns:a16="http://schemas.microsoft.com/office/drawing/2014/main" id="{00000000-0008-0000-2100-0000B56E3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2" name="$AS$116">
            <a:extLst>
              <a:ext uri="{FF2B5EF4-FFF2-40B4-BE49-F238E27FC236}">
                <a16:creationId xmlns:a16="http://schemas.microsoft.com/office/drawing/2014/main" id="{00000000-0008-0000-2100-0000B66E3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3" name="$AS$116">
            <a:extLst>
              <a:ext uri="{FF2B5EF4-FFF2-40B4-BE49-F238E27FC236}">
                <a16:creationId xmlns:a16="http://schemas.microsoft.com/office/drawing/2014/main" id="{00000000-0008-0000-2100-0000B76E3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4" name="$AS$116">
            <a:extLst>
              <a:ext uri="{FF2B5EF4-FFF2-40B4-BE49-F238E27FC236}">
                <a16:creationId xmlns:a16="http://schemas.microsoft.com/office/drawing/2014/main" id="{00000000-0008-0000-2100-0000B86E3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5" name="$AS$116">
            <a:extLst>
              <a:ext uri="{FF2B5EF4-FFF2-40B4-BE49-F238E27FC236}">
                <a16:creationId xmlns:a16="http://schemas.microsoft.com/office/drawing/2014/main" id="{00000000-0008-0000-2100-0000B96E37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6" name="$AS$116">
            <a:extLst>
              <a:ext uri="{FF2B5EF4-FFF2-40B4-BE49-F238E27FC236}">
                <a16:creationId xmlns:a16="http://schemas.microsoft.com/office/drawing/2014/main" id="{00000000-0008-0000-2100-0000BA6E37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7" name="$AS$116">
            <a:extLst>
              <a:ext uri="{FF2B5EF4-FFF2-40B4-BE49-F238E27FC236}">
                <a16:creationId xmlns:a16="http://schemas.microsoft.com/office/drawing/2014/main" id="{00000000-0008-0000-2100-0000BB6E37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8" name="$AS$116">
            <a:extLst>
              <a:ext uri="{FF2B5EF4-FFF2-40B4-BE49-F238E27FC236}">
                <a16:creationId xmlns:a16="http://schemas.microsoft.com/office/drawing/2014/main" id="{00000000-0008-0000-2100-0000BC6E37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29" name="$AS$116">
            <a:extLst>
              <a:ext uri="{FF2B5EF4-FFF2-40B4-BE49-F238E27FC236}">
                <a16:creationId xmlns:a16="http://schemas.microsoft.com/office/drawing/2014/main" id="{00000000-0008-0000-2100-0000BD6E37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0" name="$AS$116">
            <a:extLst>
              <a:ext uri="{FF2B5EF4-FFF2-40B4-BE49-F238E27FC236}">
                <a16:creationId xmlns:a16="http://schemas.microsoft.com/office/drawing/2014/main" id="{00000000-0008-0000-2100-0000BE6E3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1" name="$AS$116">
            <a:extLst>
              <a:ext uri="{FF2B5EF4-FFF2-40B4-BE49-F238E27FC236}">
                <a16:creationId xmlns:a16="http://schemas.microsoft.com/office/drawing/2014/main" id="{00000000-0008-0000-2100-0000BF6E3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2" name="$AS$116">
            <a:extLst>
              <a:ext uri="{FF2B5EF4-FFF2-40B4-BE49-F238E27FC236}">
                <a16:creationId xmlns:a16="http://schemas.microsoft.com/office/drawing/2014/main" id="{00000000-0008-0000-2100-0000C06E3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3" name="$AS$116">
            <a:extLst>
              <a:ext uri="{FF2B5EF4-FFF2-40B4-BE49-F238E27FC236}">
                <a16:creationId xmlns:a16="http://schemas.microsoft.com/office/drawing/2014/main" id="{00000000-0008-0000-2100-0000C16E3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4" name="$AS$116">
            <a:extLst>
              <a:ext uri="{FF2B5EF4-FFF2-40B4-BE49-F238E27FC236}">
                <a16:creationId xmlns:a16="http://schemas.microsoft.com/office/drawing/2014/main" id="{00000000-0008-0000-2100-0000C26E3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5" name="$AS$116">
            <a:extLst>
              <a:ext uri="{FF2B5EF4-FFF2-40B4-BE49-F238E27FC236}">
                <a16:creationId xmlns:a16="http://schemas.microsoft.com/office/drawing/2014/main" id="{00000000-0008-0000-2100-0000C36E3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6" name="$AS$116">
            <a:extLst>
              <a:ext uri="{FF2B5EF4-FFF2-40B4-BE49-F238E27FC236}">
                <a16:creationId xmlns:a16="http://schemas.microsoft.com/office/drawing/2014/main" id="{00000000-0008-0000-2100-0000C46E37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7" name="$AS$116">
            <a:extLst>
              <a:ext uri="{FF2B5EF4-FFF2-40B4-BE49-F238E27FC236}">
                <a16:creationId xmlns:a16="http://schemas.microsoft.com/office/drawing/2014/main" id="{00000000-0008-0000-2100-0000C56E37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8" name="$AS$116">
            <a:extLst>
              <a:ext uri="{FF2B5EF4-FFF2-40B4-BE49-F238E27FC236}">
                <a16:creationId xmlns:a16="http://schemas.microsoft.com/office/drawing/2014/main" id="{00000000-0008-0000-2100-0000C66E37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39" name="$AS$116">
            <a:extLst>
              <a:ext uri="{FF2B5EF4-FFF2-40B4-BE49-F238E27FC236}">
                <a16:creationId xmlns:a16="http://schemas.microsoft.com/office/drawing/2014/main" id="{00000000-0008-0000-2100-0000C76E37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0" name="$AS$116">
            <a:extLst>
              <a:ext uri="{FF2B5EF4-FFF2-40B4-BE49-F238E27FC236}">
                <a16:creationId xmlns:a16="http://schemas.microsoft.com/office/drawing/2014/main" id="{00000000-0008-0000-2100-0000C86E37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1" name="$AS$116">
            <a:extLst>
              <a:ext uri="{FF2B5EF4-FFF2-40B4-BE49-F238E27FC236}">
                <a16:creationId xmlns:a16="http://schemas.microsoft.com/office/drawing/2014/main" id="{00000000-0008-0000-2100-0000C96E37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2" name="$AS$116">
            <a:extLst>
              <a:ext uri="{FF2B5EF4-FFF2-40B4-BE49-F238E27FC236}">
                <a16:creationId xmlns:a16="http://schemas.microsoft.com/office/drawing/2014/main" id="{00000000-0008-0000-2100-0000CA6E37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3" name="$AS$116">
            <a:extLst>
              <a:ext uri="{FF2B5EF4-FFF2-40B4-BE49-F238E27FC236}">
                <a16:creationId xmlns:a16="http://schemas.microsoft.com/office/drawing/2014/main" id="{00000000-0008-0000-2100-0000CB6E37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4" name="$AS$116">
            <a:extLst>
              <a:ext uri="{FF2B5EF4-FFF2-40B4-BE49-F238E27FC236}">
                <a16:creationId xmlns:a16="http://schemas.microsoft.com/office/drawing/2014/main" id="{00000000-0008-0000-2100-0000CC6E37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5" name="$AS$116">
            <a:extLst>
              <a:ext uri="{FF2B5EF4-FFF2-40B4-BE49-F238E27FC236}">
                <a16:creationId xmlns:a16="http://schemas.microsoft.com/office/drawing/2014/main" id="{00000000-0008-0000-2100-0000CD6E37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6" name="$AS$116">
            <a:extLst>
              <a:ext uri="{FF2B5EF4-FFF2-40B4-BE49-F238E27FC236}">
                <a16:creationId xmlns:a16="http://schemas.microsoft.com/office/drawing/2014/main" id="{00000000-0008-0000-2100-0000CE6E37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7" name="$AS$116">
            <a:extLst>
              <a:ext uri="{FF2B5EF4-FFF2-40B4-BE49-F238E27FC236}">
                <a16:creationId xmlns:a16="http://schemas.microsoft.com/office/drawing/2014/main" id="{00000000-0008-0000-2100-0000CF6E37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8" name="$AS$116">
            <a:extLst>
              <a:ext uri="{FF2B5EF4-FFF2-40B4-BE49-F238E27FC236}">
                <a16:creationId xmlns:a16="http://schemas.microsoft.com/office/drawing/2014/main" id="{00000000-0008-0000-2100-0000D06E37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49" name="$AS$116">
            <a:extLst>
              <a:ext uri="{FF2B5EF4-FFF2-40B4-BE49-F238E27FC236}">
                <a16:creationId xmlns:a16="http://schemas.microsoft.com/office/drawing/2014/main" id="{00000000-0008-0000-2100-0000D16E37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0" name="$AS$116">
            <a:extLst>
              <a:ext uri="{FF2B5EF4-FFF2-40B4-BE49-F238E27FC236}">
                <a16:creationId xmlns:a16="http://schemas.microsoft.com/office/drawing/2014/main" id="{00000000-0008-0000-2100-0000D26E37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1" name="$AS$116">
            <a:extLst>
              <a:ext uri="{FF2B5EF4-FFF2-40B4-BE49-F238E27FC236}">
                <a16:creationId xmlns:a16="http://schemas.microsoft.com/office/drawing/2014/main" id="{00000000-0008-0000-2100-0000D36E37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2" name="$AS$116">
            <a:extLst>
              <a:ext uri="{FF2B5EF4-FFF2-40B4-BE49-F238E27FC236}">
                <a16:creationId xmlns:a16="http://schemas.microsoft.com/office/drawing/2014/main" id="{00000000-0008-0000-2100-0000D46E37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3" name="$AS$116">
            <a:extLst>
              <a:ext uri="{FF2B5EF4-FFF2-40B4-BE49-F238E27FC236}">
                <a16:creationId xmlns:a16="http://schemas.microsoft.com/office/drawing/2014/main" id="{00000000-0008-0000-2100-0000D56E37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4" name="$AS$116">
            <a:extLst>
              <a:ext uri="{FF2B5EF4-FFF2-40B4-BE49-F238E27FC236}">
                <a16:creationId xmlns:a16="http://schemas.microsoft.com/office/drawing/2014/main" id="{00000000-0008-0000-2100-0000D66E37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5" name="$AS$116">
            <a:extLst>
              <a:ext uri="{FF2B5EF4-FFF2-40B4-BE49-F238E27FC236}">
                <a16:creationId xmlns:a16="http://schemas.microsoft.com/office/drawing/2014/main" id="{00000000-0008-0000-2100-0000D76E37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6" name="$AS$116">
            <a:extLst>
              <a:ext uri="{FF2B5EF4-FFF2-40B4-BE49-F238E27FC236}">
                <a16:creationId xmlns:a16="http://schemas.microsoft.com/office/drawing/2014/main" id="{00000000-0008-0000-2100-0000D86E37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7" name="$AS$116">
            <a:extLst>
              <a:ext uri="{FF2B5EF4-FFF2-40B4-BE49-F238E27FC236}">
                <a16:creationId xmlns:a16="http://schemas.microsoft.com/office/drawing/2014/main" id="{00000000-0008-0000-2100-0000D96E37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8" name="$AS$116">
            <a:extLst>
              <a:ext uri="{FF2B5EF4-FFF2-40B4-BE49-F238E27FC236}">
                <a16:creationId xmlns:a16="http://schemas.microsoft.com/office/drawing/2014/main" id="{00000000-0008-0000-2100-0000DA6E37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59" name="$AS$116">
            <a:extLst>
              <a:ext uri="{FF2B5EF4-FFF2-40B4-BE49-F238E27FC236}">
                <a16:creationId xmlns:a16="http://schemas.microsoft.com/office/drawing/2014/main" id="{00000000-0008-0000-2100-0000DB6E37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0" name="$AS$116">
            <a:extLst>
              <a:ext uri="{FF2B5EF4-FFF2-40B4-BE49-F238E27FC236}">
                <a16:creationId xmlns:a16="http://schemas.microsoft.com/office/drawing/2014/main" id="{00000000-0008-0000-2100-0000DC6E37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1" name="$AS$116">
            <a:extLst>
              <a:ext uri="{FF2B5EF4-FFF2-40B4-BE49-F238E27FC236}">
                <a16:creationId xmlns:a16="http://schemas.microsoft.com/office/drawing/2014/main" id="{00000000-0008-0000-2100-0000DD6E37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2" name="$AS$116">
            <a:extLst>
              <a:ext uri="{FF2B5EF4-FFF2-40B4-BE49-F238E27FC236}">
                <a16:creationId xmlns:a16="http://schemas.microsoft.com/office/drawing/2014/main" id="{00000000-0008-0000-2100-0000DE6E37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3" name="$AS$116">
            <a:extLst>
              <a:ext uri="{FF2B5EF4-FFF2-40B4-BE49-F238E27FC236}">
                <a16:creationId xmlns:a16="http://schemas.microsoft.com/office/drawing/2014/main" id="{00000000-0008-0000-2100-0000DF6E37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4" name="$AS$116">
            <a:extLst>
              <a:ext uri="{FF2B5EF4-FFF2-40B4-BE49-F238E27FC236}">
                <a16:creationId xmlns:a16="http://schemas.microsoft.com/office/drawing/2014/main" id="{00000000-0008-0000-2100-0000E06E37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5" name="$AS$116">
            <a:extLst>
              <a:ext uri="{FF2B5EF4-FFF2-40B4-BE49-F238E27FC236}">
                <a16:creationId xmlns:a16="http://schemas.microsoft.com/office/drawing/2014/main" id="{00000000-0008-0000-2100-0000E16E37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6" name="$AS$116">
            <a:extLst>
              <a:ext uri="{FF2B5EF4-FFF2-40B4-BE49-F238E27FC236}">
                <a16:creationId xmlns:a16="http://schemas.microsoft.com/office/drawing/2014/main" id="{00000000-0008-0000-2100-0000E26E37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7" name="$AS$116">
            <a:extLst>
              <a:ext uri="{FF2B5EF4-FFF2-40B4-BE49-F238E27FC236}">
                <a16:creationId xmlns:a16="http://schemas.microsoft.com/office/drawing/2014/main" id="{00000000-0008-0000-2100-0000E36E37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8" name="$AS$116">
            <a:extLst>
              <a:ext uri="{FF2B5EF4-FFF2-40B4-BE49-F238E27FC236}">
                <a16:creationId xmlns:a16="http://schemas.microsoft.com/office/drawing/2014/main" id="{00000000-0008-0000-2100-0000E46E37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69" name="$AS$116">
            <a:extLst>
              <a:ext uri="{FF2B5EF4-FFF2-40B4-BE49-F238E27FC236}">
                <a16:creationId xmlns:a16="http://schemas.microsoft.com/office/drawing/2014/main" id="{00000000-0008-0000-2100-0000E56E37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0" name="$AS$116">
            <a:extLst>
              <a:ext uri="{FF2B5EF4-FFF2-40B4-BE49-F238E27FC236}">
                <a16:creationId xmlns:a16="http://schemas.microsoft.com/office/drawing/2014/main" id="{00000000-0008-0000-2100-0000E66E37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1" name="$AS$116">
            <a:extLst>
              <a:ext uri="{FF2B5EF4-FFF2-40B4-BE49-F238E27FC236}">
                <a16:creationId xmlns:a16="http://schemas.microsoft.com/office/drawing/2014/main" id="{00000000-0008-0000-2100-0000E76E37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2" name="$AS$116">
            <a:extLst>
              <a:ext uri="{FF2B5EF4-FFF2-40B4-BE49-F238E27FC236}">
                <a16:creationId xmlns:a16="http://schemas.microsoft.com/office/drawing/2014/main" id="{00000000-0008-0000-2100-0000E86E37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3" name="$AS$116">
            <a:extLst>
              <a:ext uri="{FF2B5EF4-FFF2-40B4-BE49-F238E27FC236}">
                <a16:creationId xmlns:a16="http://schemas.microsoft.com/office/drawing/2014/main" id="{00000000-0008-0000-2100-0000E96E37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4" name="$AS$116">
            <a:extLst>
              <a:ext uri="{FF2B5EF4-FFF2-40B4-BE49-F238E27FC236}">
                <a16:creationId xmlns:a16="http://schemas.microsoft.com/office/drawing/2014/main" id="{00000000-0008-0000-2100-0000EA6E37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5" name="$AS$116">
            <a:extLst>
              <a:ext uri="{FF2B5EF4-FFF2-40B4-BE49-F238E27FC236}">
                <a16:creationId xmlns:a16="http://schemas.microsoft.com/office/drawing/2014/main" id="{00000000-0008-0000-2100-0000EB6E37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6" name="$AS$116">
            <a:extLst>
              <a:ext uri="{FF2B5EF4-FFF2-40B4-BE49-F238E27FC236}">
                <a16:creationId xmlns:a16="http://schemas.microsoft.com/office/drawing/2014/main" id="{00000000-0008-0000-2100-0000EC6E37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7" name="$AS$116">
            <a:extLst>
              <a:ext uri="{FF2B5EF4-FFF2-40B4-BE49-F238E27FC236}">
                <a16:creationId xmlns:a16="http://schemas.microsoft.com/office/drawing/2014/main" id="{00000000-0008-0000-2100-0000ED6E37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8" name="$AS$116">
            <a:extLst>
              <a:ext uri="{FF2B5EF4-FFF2-40B4-BE49-F238E27FC236}">
                <a16:creationId xmlns:a16="http://schemas.microsoft.com/office/drawing/2014/main" id="{00000000-0008-0000-2100-0000EE6E37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79" name="$AS$116">
            <a:extLst>
              <a:ext uri="{FF2B5EF4-FFF2-40B4-BE49-F238E27FC236}">
                <a16:creationId xmlns:a16="http://schemas.microsoft.com/office/drawing/2014/main" id="{00000000-0008-0000-2100-0000EF6E37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0" name="$AS$116">
            <a:extLst>
              <a:ext uri="{FF2B5EF4-FFF2-40B4-BE49-F238E27FC236}">
                <a16:creationId xmlns:a16="http://schemas.microsoft.com/office/drawing/2014/main" id="{00000000-0008-0000-2100-0000F06E37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1" name="$AS$116">
            <a:extLst>
              <a:ext uri="{FF2B5EF4-FFF2-40B4-BE49-F238E27FC236}">
                <a16:creationId xmlns:a16="http://schemas.microsoft.com/office/drawing/2014/main" id="{00000000-0008-0000-2100-0000F16E37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2" name="$AS$116">
            <a:extLst>
              <a:ext uri="{FF2B5EF4-FFF2-40B4-BE49-F238E27FC236}">
                <a16:creationId xmlns:a16="http://schemas.microsoft.com/office/drawing/2014/main" id="{00000000-0008-0000-2100-0000F26E37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3" name="$AS$116">
            <a:extLst>
              <a:ext uri="{FF2B5EF4-FFF2-40B4-BE49-F238E27FC236}">
                <a16:creationId xmlns:a16="http://schemas.microsoft.com/office/drawing/2014/main" id="{00000000-0008-0000-2100-0000F36E37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4" name="$AS$116">
            <a:extLst>
              <a:ext uri="{FF2B5EF4-FFF2-40B4-BE49-F238E27FC236}">
                <a16:creationId xmlns:a16="http://schemas.microsoft.com/office/drawing/2014/main" id="{00000000-0008-0000-2100-0000F46E37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5" name="$AS$116">
            <a:extLst>
              <a:ext uri="{FF2B5EF4-FFF2-40B4-BE49-F238E27FC236}">
                <a16:creationId xmlns:a16="http://schemas.microsoft.com/office/drawing/2014/main" id="{00000000-0008-0000-2100-0000F56E37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6" name="$AS$116">
            <a:extLst>
              <a:ext uri="{FF2B5EF4-FFF2-40B4-BE49-F238E27FC236}">
                <a16:creationId xmlns:a16="http://schemas.microsoft.com/office/drawing/2014/main" id="{00000000-0008-0000-2100-0000F66E37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7" name="$AS$116">
            <a:extLst>
              <a:ext uri="{FF2B5EF4-FFF2-40B4-BE49-F238E27FC236}">
                <a16:creationId xmlns:a16="http://schemas.microsoft.com/office/drawing/2014/main" id="{00000000-0008-0000-2100-0000F76E37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8" name="$AS$116">
            <a:extLst>
              <a:ext uri="{FF2B5EF4-FFF2-40B4-BE49-F238E27FC236}">
                <a16:creationId xmlns:a16="http://schemas.microsoft.com/office/drawing/2014/main" id="{00000000-0008-0000-2100-0000F86E37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89" name="$AS$116">
            <a:extLst>
              <a:ext uri="{FF2B5EF4-FFF2-40B4-BE49-F238E27FC236}">
                <a16:creationId xmlns:a16="http://schemas.microsoft.com/office/drawing/2014/main" id="{00000000-0008-0000-2100-0000F96E37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0" name="$AS$116">
            <a:extLst>
              <a:ext uri="{FF2B5EF4-FFF2-40B4-BE49-F238E27FC236}">
                <a16:creationId xmlns:a16="http://schemas.microsoft.com/office/drawing/2014/main" id="{00000000-0008-0000-2100-0000FA6E37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1" name="$AS$116">
            <a:extLst>
              <a:ext uri="{FF2B5EF4-FFF2-40B4-BE49-F238E27FC236}">
                <a16:creationId xmlns:a16="http://schemas.microsoft.com/office/drawing/2014/main" id="{00000000-0008-0000-2100-0000FB6E37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2" name="$AS$116">
            <a:extLst>
              <a:ext uri="{FF2B5EF4-FFF2-40B4-BE49-F238E27FC236}">
                <a16:creationId xmlns:a16="http://schemas.microsoft.com/office/drawing/2014/main" id="{00000000-0008-0000-2100-0000FC6E37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3" name="$AS$116">
            <a:extLst>
              <a:ext uri="{FF2B5EF4-FFF2-40B4-BE49-F238E27FC236}">
                <a16:creationId xmlns:a16="http://schemas.microsoft.com/office/drawing/2014/main" id="{00000000-0008-0000-2100-0000FD6E37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4" name="$AS$116">
            <a:extLst>
              <a:ext uri="{FF2B5EF4-FFF2-40B4-BE49-F238E27FC236}">
                <a16:creationId xmlns:a16="http://schemas.microsoft.com/office/drawing/2014/main" id="{00000000-0008-0000-2100-0000FE6E37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5" name="$AS$116">
            <a:extLst>
              <a:ext uri="{FF2B5EF4-FFF2-40B4-BE49-F238E27FC236}">
                <a16:creationId xmlns:a16="http://schemas.microsoft.com/office/drawing/2014/main" id="{00000000-0008-0000-2100-0000FF6E37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6" name="$AS$116">
            <a:extLst>
              <a:ext uri="{FF2B5EF4-FFF2-40B4-BE49-F238E27FC236}">
                <a16:creationId xmlns:a16="http://schemas.microsoft.com/office/drawing/2014/main" id="{00000000-0008-0000-2100-0000006F37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7" name="$AS$116">
            <a:extLst>
              <a:ext uri="{FF2B5EF4-FFF2-40B4-BE49-F238E27FC236}">
                <a16:creationId xmlns:a16="http://schemas.microsoft.com/office/drawing/2014/main" id="{00000000-0008-0000-2100-0000016F37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8" name="$AS$116">
            <a:extLst>
              <a:ext uri="{FF2B5EF4-FFF2-40B4-BE49-F238E27FC236}">
                <a16:creationId xmlns:a16="http://schemas.microsoft.com/office/drawing/2014/main" id="{00000000-0008-0000-2100-0000026F37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899" name="$AS$116">
            <a:extLst>
              <a:ext uri="{FF2B5EF4-FFF2-40B4-BE49-F238E27FC236}">
                <a16:creationId xmlns:a16="http://schemas.microsoft.com/office/drawing/2014/main" id="{00000000-0008-0000-2100-0000036F37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0" name="$AS$116">
            <a:extLst>
              <a:ext uri="{FF2B5EF4-FFF2-40B4-BE49-F238E27FC236}">
                <a16:creationId xmlns:a16="http://schemas.microsoft.com/office/drawing/2014/main" id="{00000000-0008-0000-2100-0000046F37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1" name="$AS$116">
            <a:extLst>
              <a:ext uri="{FF2B5EF4-FFF2-40B4-BE49-F238E27FC236}">
                <a16:creationId xmlns:a16="http://schemas.microsoft.com/office/drawing/2014/main" id="{00000000-0008-0000-2100-0000056F37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2" name="$AS$116">
            <a:extLst>
              <a:ext uri="{FF2B5EF4-FFF2-40B4-BE49-F238E27FC236}">
                <a16:creationId xmlns:a16="http://schemas.microsoft.com/office/drawing/2014/main" id="{00000000-0008-0000-2100-0000066F37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3" name="$AS$116">
            <a:extLst>
              <a:ext uri="{FF2B5EF4-FFF2-40B4-BE49-F238E27FC236}">
                <a16:creationId xmlns:a16="http://schemas.microsoft.com/office/drawing/2014/main" id="{00000000-0008-0000-2100-0000076F37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4" name="$AS$116">
            <a:extLst>
              <a:ext uri="{FF2B5EF4-FFF2-40B4-BE49-F238E27FC236}">
                <a16:creationId xmlns:a16="http://schemas.microsoft.com/office/drawing/2014/main" id="{00000000-0008-0000-2100-0000086F37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5" name="$AS$116">
            <a:extLst>
              <a:ext uri="{FF2B5EF4-FFF2-40B4-BE49-F238E27FC236}">
                <a16:creationId xmlns:a16="http://schemas.microsoft.com/office/drawing/2014/main" id="{00000000-0008-0000-2100-0000096F37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6" name="$AS$116">
            <a:extLst>
              <a:ext uri="{FF2B5EF4-FFF2-40B4-BE49-F238E27FC236}">
                <a16:creationId xmlns:a16="http://schemas.microsoft.com/office/drawing/2014/main" id="{00000000-0008-0000-2100-00000A6F37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7" name="$AS$116">
            <a:extLst>
              <a:ext uri="{FF2B5EF4-FFF2-40B4-BE49-F238E27FC236}">
                <a16:creationId xmlns:a16="http://schemas.microsoft.com/office/drawing/2014/main" id="{00000000-0008-0000-2100-00000B6F37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8" name="$AS$116">
            <a:extLst>
              <a:ext uri="{FF2B5EF4-FFF2-40B4-BE49-F238E27FC236}">
                <a16:creationId xmlns:a16="http://schemas.microsoft.com/office/drawing/2014/main" id="{00000000-0008-0000-2100-00000C6F37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09" name="$AS$116">
            <a:extLst>
              <a:ext uri="{FF2B5EF4-FFF2-40B4-BE49-F238E27FC236}">
                <a16:creationId xmlns:a16="http://schemas.microsoft.com/office/drawing/2014/main" id="{00000000-0008-0000-2100-00000D6F37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0" name="$AS$116">
            <a:extLst>
              <a:ext uri="{FF2B5EF4-FFF2-40B4-BE49-F238E27FC236}">
                <a16:creationId xmlns:a16="http://schemas.microsoft.com/office/drawing/2014/main" id="{00000000-0008-0000-2100-00000E6F37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1" name="$AS$116">
            <a:extLst>
              <a:ext uri="{FF2B5EF4-FFF2-40B4-BE49-F238E27FC236}">
                <a16:creationId xmlns:a16="http://schemas.microsoft.com/office/drawing/2014/main" id="{00000000-0008-0000-2100-00000F6F37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2" name="$AS$116">
            <a:extLst>
              <a:ext uri="{FF2B5EF4-FFF2-40B4-BE49-F238E27FC236}">
                <a16:creationId xmlns:a16="http://schemas.microsoft.com/office/drawing/2014/main" id="{00000000-0008-0000-2100-0000106F37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3" name="$AS$116">
            <a:extLst>
              <a:ext uri="{FF2B5EF4-FFF2-40B4-BE49-F238E27FC236}">
                <a16:creationId xmlns:a16="http://schemas.microsoft.com/office/drawing/2014/main" id="{00000000-0008-0000-2100-0000116F37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4" name="$AS$116">
            <a:extLst>
              <a:ext uri="{FF2B5EF4-FFF2-40B4-BE49-F238E27FC236}">
                <a16:creationId xmlns:a16="http://schemas.microsoft.com/office/drawing/2014/main" id="{00000000-0008-0000-2100-0000126F37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5" name="$AS$116">
            <a:extLst>
              <a:ext uri="{FF2B5EF4-FFF2-40B4-BE49-F238E27FC236}">
                <a16:creationId xmlns:a16="http://schemas.microsoft.com/office/drawing/2014/main" id="{00000000-0008-0000-2100-0000136F37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6" name="$AS$116">
            <a:extLst>
              <a:ext uri="{FF2B5EF4-FFF2-40B4-BE49-F238E27FC236}">
                <a16:creationId xmlns:a16="http://schemas.microsoft.com/office/drawing/2014/main" id="{00000000-0008-0000-2100-0000146F37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7" name="$AS$116">
            <a:extLst>
              <a:ext uri="{FF2B5EF4-FFF2-40B4-BE49-F238E27FC236}">
                <a16:creationId xmlns:a16="http://schemas.microsoft.com/office/drawing/2014/main" id="{00000000-0008-0000-2100-0000156F37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8" name="$AS$116">
            <a:extLst>
              <a:ext uri="{FF2B5EF4-FFF2-40B4-BE49-F238E27FC236}">
                <a16:creationId xmlns:a16="http://schemas.microsoft.com/office/drawing/2014/main" id="{00000000-0008-0000-2100-0000166F37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19" name="$AS$116">
            <a:extLst>
              <a:ext uri="{FF2B5EF4-FFF2-40B4-BE49-F238E27FC236}">
                <a16:creationId xmlns:a16="http://schemas.microsoft.com/office/drawing/2014/main" id="{00000000-0008-0000-2100-0000176F37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0" name="$AS$116">
            <a:extLst>
              <a:ext uri="{FF2B5EF4-FFF2-40B4-BE49-F238E27FC236}">
                <a16:creationId xmlns:a16="http://schemas.microsoft.com/office/drawing/2014/main" id="{00000000-0008-0000-2100-0000186F37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1" name="$AS$116">
            <a:extLst>
              <a:ext uri="{FF2B5EF4-FFF2-40B4-BE49-F238E27FC236}">
                <a16:creationId xmlns:a16="http://schemas.microsoft.com/office/drawing/2014/main" id="{00000000-0008-0000-2100-0000196F37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2" name="$AS$116">
            <a:extLst>
              <a:ext uri="{FF2B5EF4-FFF2-40B4-BE49-F238E27FC236}">
                <a16:creationId xmlns:a16="http://schemas.microsoft.com/office/drawing/2014/main" id="{00000000-0008-0000-2100-00001A6F37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3" name="$AS$116">
            <a:extLst>
              <a:ext uri="{FF2B5EF4-FFF2-40B4-BE49-F238E27FC236}">
                <a16:creationId xmlns:a16="http://schemas.microsoft.com/office/drawing/2014/main" id="{00000000-0008-0000-2100-00001B6F37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4" name="$AS$116">
            <a:extLst>
              <a:ext uri="{FF2B5EF4-FFF2-40B4-BE49-F238E27FC236}">
                <a16:creationId xmlns:a16="http://schemas.microsoft.com/office/drawing/2014/main" id="{00000000-0008-0000-2100-00001C6F37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5" name="$AS$116">
            <a:extLst>
              <a:ext uri="{FF2B5EF4-FFF2-40B4-BE49-F238E27FC236}">
                <a16:creationId xmlns:a16="http://schemas.microsoft.com/office/drawing/2014/main" id="{00000000-0008-0000-2100-00001D6F37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6" name="$AS$116">
            <a:extLst>
              <a:ext uri="{FF2B5EF4-FFF2-40B4-BE49-F238E27FC236}">
                <a16:creationId xmlns:a16="http://schemas.microsoft.com/office/drawing/2014/main" id="{00000000-0008-0000-2100-00001E6F37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7" name="$AS$116">
            <a:extLst>
              <a:ext uri="{FF2B5EF4-FFF2-40B4-BE49-F238E27FC236}">
                <a16:creationId xmlns:a16="http://schemas.microsoft.com/office/drawing/2014/main" id="{00000000-0008-0000-2100-00001F6F37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8" name="$AS$116">
            <a:extLst>
              <a:ext uri="{FF2B5EF4-FFF2-40B4-BE49-F238E27FC236}">
                <a16:creationId xmlns:a16="http://schemas.microsoft.com/office/drawing/2014/main" id="{00000000-0008-0000-2100-0000206F37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29" name="$AS$116">
            <a:extLst>
              <a:ext uri="{FF2B5EF4-FFF2-40B4-BE49-F238E27FC236}">
                <a16:creationId xmlns:a16="http://schemas.microsoft.com/office/drawing/2014/main" id="{00000000-0008-0000-2100-0000216F37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0" name="$AS$116">
            <a:extLst>
              <a:ext uri="{FF2B5EF4-FFF2-40B4-BE49-F238E27FC236}">
                <a16:creationId xmlns:a16="http://schemas.microsoft.com/office/drawing/2014/main" id="{00000000-0008-0000-2100-0000226F37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1" name="$AS$116">
            <a:extLst>
              <a:ext uri="{FF2B5EF4-FFF2-40B4-BE49-F238E27FC236}">
                <a16:creationId xmlns:a16="http://schemas.microsoft.com/office/drawing/2014/main" id="{00000000-0008-0000-2100-0000236F37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2" name="$AS$116">
            <a:extLst>
              <a:ext uri="{FF2B5EF4-FFF2-40B4-BE49-F238E27FC236}">
                <a16:creationId xmlns:a16="http://schemas.microsoft.com/office/drawing/2014/main" id="{00000000-0008-0000-2100-0000246F37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3" name="$AS$116">
            <a:extLst>
              <a:ext uri="{FF2B5EF4-FFF2-40B4-BE49-F238E27FC236}">
                <a16:creationId xmlns:a16="http://schemas.microsoft.com/office/drawing/2014/main" id="{00000000-0008-0000-2100-0000256F37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4" name="$AS$116">
            <a:extLst>
              <a:ext uri="{FF2B5EF4-FFF2-40B4-BE49-F238E27FC236}">
                <a16:creationId xmlns:a16="http://schemas.microsoft.com/office/drawing/2014/main" id="{00000000-0008-0000-2100-0000266F37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5" name="$AS$116">
            <a:extLst>
              <a:ext uri="{FF2B5EF4-FFF2-40B4-BE49-F238E27FC236}">
                <a16:creationId xmlns:a16="http://schemas.microsoft.com/office/drawing/2014/main" id="{00000000-0008-0000-2100-0000276F37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6" name="$AS$116">
            <a:extLst>
              <a:ext uri="{FF2B5EF4-FFF2-40B4-BE49-F238E27FC236}">
                <a16:creationId xmlns:a16="http://schemas.microsoft.com/office/drawing/2014/main" id="{00000000-0008-0000-2100-0000286F37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7" name="$AS$116">
            <a:extLst>
              <a:ext uri="{FF2B5EF4-FFF2-40B4-BE49-F238E27FC236}">
                <a16:creationId xmlns:a16="http://schemas.microsoft.com/office/drawing/2014/main" id="{00000000-0008-0000-2100-0000296F37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8" name="$AS$116">
            <a:extLst>
              <a:ext uri="{FF2B5EF4-FFF2-40B4-BE49-F238E27FC236}">
                <a16:creationId xmlns:a16="http://schemas.microsoft.com/office/drawing/2014/main" id="{00000000-0008-0000-2100-00002A6F37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39" name="$AS$116">
            <a:extLst>
              <a:ext uri="{FF2B5EF4-FFF2-40B4-BE49-F238E27FC236}">
                <a16:creationId xmlns:a16="http://schemas.microsoft.com/office/drawing/2014/main" id="{00000000-0008-0000-2100-00002B6F37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0" name="$AS$116">
            <a:extLst>
              <a:ext uri="{FF2B5EF4-FFF2-40B4-BE49-F238E27FC236}">
                <a16:creationId xmlns:a16="http://schemas.microsoft.com/office/drawing/2014/main" id="{00000000-0008-0000-2100-00002C6F37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1" name="$AS$116">
            <a:extLst>
              <a:ext uri="{FF2B5EF4-FFF2-40B4-BE49-F238E27FC236}">
                <a16:creationId xmlns:a16="http://schemas.microsoft.com/office/drawing/2014/main" id="{00000000-0008-0000-2100-00002D6F37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2" name="$AS$116">
            <a:extLst>
              <a:ext uri="{FF2B5EF4-FFF2-40B4-BE49-F238E27FC236}">
                <a16:creationId xmlns:a16="http://schemas.microsoft.com/office/drawing/2014/main" id="{00000000-0008-0000-2100-00002E6F37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3" name="$AS$116">
            <a:extLst>
              <a:ext uri="{FF2B5EF4-FFF2-40B4-BE49-F238E27FC236}">
                <a16:creationId xmlns:a16="http://schemas.microsoft.com/office/drawing/2014/main" id="{00000000-0008-0000-2100-00002F6F37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4" name="$AS$116">
            <a:extLst>
              <a:ext uri="{FF2B5EF4-FFF2-40B4-BE49-F238E27FC236}">
                <a16:creationId xmlns:a16="http://schemas.microsoft.com/office/drawing/2014/main" id="{00000000-0008-0000-2100-0000306F37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5" name="$AS$116">
            <a:extLst>
              <a:ext uri="{FF2B5EF4-FFF2-40B4-BE49-F238E27FC236}">
                <a16:creationId xmlns:a16="http://schemas.microsoft.com/office/drawing/2014/main" id="{00000000-0008-0000-2100-0000316F37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6" name="$AS$116">
            <a:extLst>
              <a:ext uri="{FF2B5EF4-FFF2-40B4-BE49-F238E27FC236}">
                <a16:creationId xmlns:a16="http://schemas.microsoft.com/office/drawing/2014/main" id="{00000000-0008-0000-2100-0000326F37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7" name="$AS$116">
            <a:extLst>
              <a:ext uri="{FF2B5EF4-FFF2-40B4-BE49-F238E27FC236}">
                <a16:creationId xmlns:a16="http://schemas.microsoft.com/office/drawing/2014/main" id="{00000000-0008-0000-2100-0000336F37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8" name="$AS$116">
            <a:extLst>
              <a:ext uri="{FF2B5EF4-FFF2-40B4-BE49-F238E27FC236}">
                <a16:creationId xmlns:a16="http://schemas.microsoft.com/office/drawing/2014/main" id="{00000000-0008-0000-2100-0000346F37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49" name="$AS$116">
            <a:extLst>
              <a:ext uri="{FF2B5EF4-FFF2-40B4-BE49-F238E27FC236}">
                <a16:creationId xmlns:a16="http://schemas.microsoft.com/office/drawing/2014/main" id="{00000000-0008-0000-2100-0000356F37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0" name="$AS$116">
            <a:extLst>
              <a:ext uri="{FF2B5EF4-FFF2-40B4-BE49-F238E27FC236}">
                <a16:creationId xmlns:a16="http://schemas.microsoft.com/office/drawing/2014/main" id="{00000000-0008-0000-2100-0000366F37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1" name="$AS$116">
            <a:extLst>
              <a:ext uri="{FF2B5EF4-FFF2-40B4-BE49-F238E27FC236}">
                <a16:creationId xmlns:a16="http://schemas.microsoft.com/office/drawing/2014/main" id="{00000000-0008-0000-2100-0000376F37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2" name="$AS$116">
            <a:extLst>
              <a:ext uri="{FF2B5EF4-FFF2-40B4-BE49-F238E27FC236}">
                <a16:creationId xmlns:a16="http://schemas.microsoft.com/office/drawing/2014/main" id="{00000000-0008-0000-2100-0000386F37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3" name="$AS$116">
            <a:extLst>
              <a:ext uri="{FF2B5EF4-FFF2-40B4-BE49-F238E27FC236}">
                <a16:creationId xmlns:a16="http://schemas.microsoft.com/office/drawing/2014/main" id="{00000000-0008-0000-2100-0000396F37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4" name="$AS$116">
            <a:extLst>
              <a:ext uri="{FF2B5EF4-FFF2-40B4-BE49-F238E27FC236}">
                <a16:creationId xmlns:a16="http://schemas.microsoft.com/office/drawing/2014/main" id="{00000000-0008-0000-2100-00003A6F37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5" name="$AS$116">
            <a:extLst>
              <a:ext uri="{FF2B5EF4-FFF2-40B4-BE49-F238E27FC236}">
                <a16:creationId xmlns:a16="http://schemas.microsoft.com/office/drawing/2014/main" id="{00000000-0008-0000-2100-00003B6F37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6" name="$AS$116">
            <a:extLst>
              <a:ext uri="{FF2B5EF4-FFF2-40B4-BE49-F238E27FC236}">
                <a16:creationId xmlns:a16="http://schemas.microsoft.com/office/drawing/2014/main" id="{00000000-0008-0000-2100-00003C6F37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7" name="$AS$116">
            <a:extLst>
              <a:ext uri="{FF2B5EF4-FFF2-40B4-BE49-F238E27FC236}">
                <a16:creationId xmlns:a16="http://schemas.microsoft.com/office/drawing/2014/main" id="{00000000-0008-0000-2100-00003D6F37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8" name="$AS$116">
            <a:extLst>
              <a:ext uri="{FF2B5EF4-FFF2-40B4-BE49-F238E27FC236}">
                <a16:creationId xmlns:a16="http://schemas.microsoft.com/office/drawing/2014/main" id="{00000000-0008-0000-2100-00003E6F37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59" name="$AS$116">
            <a:extLst>
              <a:ext uri="{FF2B5EF4-FFF2-40B4-BE49-F238E27FC236}">
                <a16:creationId xmlns:a16="http://schemas.microsoft.com/office/drawing/2014/main" id="{00000000-0008-0000-2100-00003F6F37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60" name="$AS$116">
            <a:extLst>
              <a:ext uri="{FF2B5EF4-FFF2-40B4-BE49-F238E27FC236}">
                <a16:creationId xmlns:a16="http://schemas.microsoft.com/office/drawing/2014/main" id="{00000000-0008-0000-2100-0000406F37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2961" name="$AS$116">
            <a:extLst>
              <a:ext uri="{FF2B5EF4-FFF2-40B4-BE49-F238E27FC236}">
                <a16:creationId xmlns:a16="http://schemas.microsoft.com/office/drawing/2014/main" id="{00000000-0008-0000-2100-0000416F37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1085850</xdr:colOff>
          <xdr:row>9</xdr:row>
          <xdr:rowOff>323850</xdr:rowOff>
        </xdr:from>
        <xdr:to>
          <xdr:col>4</xdr:col>
          <xdr:colOff>2047875</xdr:colOff>
          <xdr:row>11</xdr:row>
          <xdr:rowOff>9525</xdr:rowOff>
        </xdr:to>
        <xdr:sp macro="" textlink="">
          <xdr:nvSpPr>
            <xdr:cNvPr id="3" name="Button 50" hidden="1">
              <a:extLst>
                <a:ext uri="{63B3BB69-23CF-44E3-9099-C40C66FF867C}">
                  <a14:compatExt spid="_x0000_s3605554"/>
                </a:ext>
                <a:ext uri="{FF2B5EF4-FFF2-40B4-BE49-F238E27FC236}">
                  <a16:creationId xmlns:a16="http://schemas.microsoft.com/office/drawing/2014/main" id="{00000000-0008-0000-22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អតិថិជន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535781</xdr:colOff>
      <xdr:row>88</xdr:row>
      <xdr:rowOff>59531</xdr:rowOff>
    </xdr:from>
    <xdr:to>
      <xdr:col>13</xdr:col>
      <xdr:colOff>833438</xdr:colOff>
      <xdr:row>88</xdr:row>
      <xdr:rowOff>238125</xdr:rowOff>
    </xdr:to>
    <xdr:sp macro="" textlink="">
      <xdr:nvSpPr>
        <xdr:cNvPr id="3632448" name="Arrow: Right 3632447">
          <a:extLst>
            <a:ext uri="{FF2B5EF4-FFF2-40B4-BE49-F238E27FC236}">
              <a16:creationId xmlns:a16="http://schemas.microsoft.com/office/drawing/2014/main" id="{00000000-0008-0000-2100-0000406D3700}"/>
            </a:ext>
          </a:extLst>
        </xdr:cNvPr>
        <xdr:cNvSpPr/>
      </xdr:nvSpPr>
      <xdr:spPr>
        <a:xfrm>
          <a:off x="10644187" y="8001000"/>
          <a:ext cx="297657" cy="178594"/>
        </a:xfrm>
        <a:prstGeom prst="rightArrow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147636</xdr:colOff>
      <xdr:row>1</xdr:row>
      <xdr:rowOff>140491</xdr:rowOff>
    </xdr:from>
    <xdr:to>
      <xdr:col>9</xdr:col>
      <xdr:colOff>857249</xdr:colOff>
      <xdr:row>5</xdr:row>
      <xdr:rowOff>142873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3755230" y="2357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70C0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190500</xdr:rowOff>
        </xdr:from>
        <xdr:to>
          <xdr:col>4</xdr:col>
          <xdr:colOff>57150</xdr:colOff>
          <xdr:row>2</xdr:row>
          <xdr:rowOff>285750</xdr:rowOff>
        </xdr:to>
        <xdr:sp macro="" textlink="">
          <xdr:nvSpPr>
            <xdr:cNvPr id="3634177" name="Button 1" descr="ទំព័រដើម" hidden="1">
              <a:extLst>
                <a:ext uri="{63B3BB69-23CF-44E3-9099-C40C66FF867C}">
                  <a14:compatExt spid="_x0000_s3634177"/>
                </a:ext>
                <a:ext uri="{FF2B5EF4-FFF2-40B4-BE49-F238E27FC236}">
                  <a16:creationId xmlns:a16="http://schemas.microsoft.com/office/drawing/2014/main" id="{00000000-0008-0000-2300-0000017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1</xdr:row>
          <xdr:rowOff>180975</xdr:rowOff>
        </xdr:from>
        <xdr:to>
          <xdr:col>5</xdr:col>
          <xdr:colOff>790575</xdr:colOff>
          <xdr:row>2</xdr:row>
          <xdr:rowOff>285750</xdr:rowOff>
        </xdr:to>
        <xdr:sp macro="" textlink="">
          <xdr:nvSpPr>
            <xdr:cNvPr id="3634182" name="Button 6" hidden="1">
              <a:extLst>
                <a:ext uri="{63B3BB69-23CF-44E3-9099-C40C66FF867C}">
                  <a14:compatExt spid="_x0000_s3634182"/>
                </a:ext>
                <a:ext uri="{FF2B5EF4-FFF2-40B4-BE49-F238E27FC236}">
                  <a16:creationId xmlns:a16="http://schemas.microsoft.com/office/drawing/2014/main" id="{00000000-0008-0000-2300-00000674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Quotation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228600</xdr:rowOff>
        </xdr:from>
        <xdr:to>
          <xdr:col>4</xdr:col>
          <xdr:colOff>76200</xdr:colOff>
          <xdr:row>4</xdr:row>
          <xdr:rowOff>19050</xdr:rowOff>
        </xdr:to>
        <xdr:sp macro="" textlink="">
          <xdr:nvSpPr>
            <xdr:cNvPr id="3635201" name="Button 1" descr="ទំព័រដើម" hidden="1">
              <a:extLst>
                <a:ext uri="{63B3BB69-23CF-44E3-9099-C40C66FF867C}">
                  <a14:compatExt spid="_x0000_s3635201"/>
                </a:ext>
                <a:ext uri="{FF2B5EF4-FFF2-40B4-BE49-F238E27FC236}">
                  <a16:creationId xmlns:a16="http://schemas.microsoft.com/office/drawing/2014/main" id="{00000000-0008-0000-2400-00000178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104775</xdr:colOff>
      <xdr:row>1</xdr:row>
      <xdr:rowOff>133350</xdr:rowOff>
    </xdr:from>
    <xdr:to>
      <xdr:col>14</xdr:col>
      <xdr:colOff>600075</xdr:colOff>
      <xdr:row>4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562100" y="323850"/>
          <a:ext cx="41529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70C0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238125</xdr:rowOff>
        </xdr:from>
        <xdr:to>
          <xdr:col>5</xdr:col>
          <xdr:colOff>666750</xdr:colOff>
          <xdr:row>4</xdr:row>
          <xdr:rowOff>9525</xdr:rowOff>
        </xdr:to>
        <xdr:sp macro="" textlink="">
          <xdr:nvSpPr>
            <xdr:cNvPr id="3635202" name="Button 2" hidden="1">
              <a:extLst>
                <a:ext uri="{63B3BB69-23CF-44E3-9099-C40C66FF867C}">
                  <a14:compatExt spid="_x0000_s3635202"/>
                </a:ext>
                <a:ext uri="{FF2B5EF4-FFF2-40B4-BE49-F238E27FC236}">
                  <a16:creationId xmlns:a16="http://schemas.microsoft.com/office/drawing/2014/main" id="{00000000-0008-0000-2400-00000278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Add Quotation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171450</xdr:rowOff>
        </xdr:from>
        <xdr:to>
          <xdr:col>3</xdr:col>
          <xdr:colOff>476250</xdr:colOff>
          <xdr:row>4</xdr:row>
          <xdr:rowOff>19050</xdr:rowOff>
        </xdr:to>
        <xdr:sp macro="" textlink="">
          <xdr:nvSpPr>
            <xdr:cNvPr id="3660801" name="Button 1" descr="ទំព័រដើម" hidden="1">
              <a:extLst>
                <a:ext uri="{63B3BB69-23CF-44E3-9099-C40C66FF867C}">
                  <a14:compatExt spid="_x0000_s3660801"/>
                </a:ext>
                <a:ext uri="{FF2B5EF4-FFF2-40B4-BE49-F238E27FC236}">
                  <a16:creationId xmlns:a16="http://schemas.microsoft.com/office/drawing/2014/main" id="{00000000-0008-0000-2500-000001DC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</xdr:row>
      <xdr:rowOff>133350</xdr:rowOff>
    </xdr:from>
    <xdr:to>
      <xdr:col>11</xdr:col>
      <xdr:colOff>600075</xdr:colOff>
      <xdr:row>4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2762250" y="323850"/>
          <a:ext cx="6562725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70C0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</xdr:row>
          <xdr:rowOff>485775</xdr:rowOff>
        </xdr:from>
        <xdr:to>
          <xdr:col>7</xdr:col>
          <xdr:colOff>1428750</xdr:colOff>
          <xdr:row>4</xdr:row>
          <xdr:rowOff>57150</xdr:rowOff>
        </xdr:to>
        <xdr:sp macro="" textlink="">
          <xdr:nvSpPr>
            <xdr:cNvPr id="3791873" name="Button 1" descr="ទំព័រដើម" hidden="1">
              <a:extLst>
                <a:ext uri="{63B3BB69-23CF-44E3-9099-C40C66FF867C}">
                  <a14:compatExt spid="_x0000_s3791873"/>
                </a:ext>
                <a:ext uri="{FF2B5EF4-FFF2-40B4-BE49-F238E27FC236}">
                  <a16:creationId xmlns:a16="http://schemas.microsoft.com/office/drawing/2014/main" id="{00000000-0008-0000-2600-000001D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</xdr:row>
          <xdr:rowOff>342900</xdr:rowOff>
        </xdr:from>
        <xdr:to>
          <xdr:col>23</xdr:col>
          <xdr:colOff>142875</xdr:colOff>
          <xdr:row>5</xdr:row>
          <xdr:rowOff>333375</xdr:rowOff>
        </xdr:to>
        <xdr:sp macro="" textlink="">
          <xdr:nvSpPr>
            <xdr:cNvPr id="1563652" name="Button 4" hidden="1">
              <a:extLst>
                <a:ext uri="{63B3BB69-23CF-44E3-9099-C40C66FF867C}">
                  <a14:compatExt spid="_x0000_s1563652"/>
                </a:ext>
                <a:ext uri="{FF2B5EF4-FFF2-40B4-BE49-F238E27FC236}">
                  <a16:creationId xmlns:a16="http://schemas.microsoft.com/office/drawing/2014/main" id="{00000000-0008-0000-2900-000004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11</xdr:row>
          <xdr:rowOff>333375</xdr:rowOff>
        </xdr:from>
        <xdr:to>
          <xdr:col>22</xdr:col>
          <xdr:colOff>657225</xdr:colOff>
          <xdr:row>13</xdr:row>
          <xdr:rowOff>0</xdr:rowOff>
        </xdr:to>
        <xdr:sp macro="" textlink="">
          <xdr:nvSpPr>
            <xdr:cNvPr id="1563653" name="Button 5" hidden="1">
              <a:extLst>
                <a:ext uri="{63B3BB69-23CF-44E3-9099-C40C66FF867C}">
                  <a14:compatExt spid="_x0000_s1563653"/>
                </a:ext>
                <a:ext uri="{FF2B5EF4-FFF2-40B4-BE49-F238E27FC236}">
                  <a16:creationId xmlns:a16="http://schemas.microsoft.com/office/drawing/2014/main" id="{00000000-0008-0000-2900-000005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1276350</xdr:colOff>
          <xdr:row>0</xdr:row>
          <xdr:rowOff>114300</xdr:rowOff>
        </xdr:from>
        <xdr:to>
          <xdr:col>22</xdr:col>
          <xdr:colOff>476250</xdr:colOff>
          <xdr:row>1</xdr:row>
          <xdr:rowOff>57150</xdr:rowOff>
        </xdr:to>
        <xdr:sp macro="" textlink="">
          <xdr:nvSpPr>
            <xdr:cNvPr id="1563654" name="Button 6" hidden="1">
              <a:extLst>
                <a:ext uri="{63B3BB69-23CF-44E3-9099-C40C66FF867C}">
                  <a14:compatExt spid="_x0000_s1563654"/>
                </a:ext>
                <a:ext uri="{FF2B5EF4-FFF2-40B4-BE49-F238E27FC236}">
                  <a16:creationId xmlns:a16="http://schemas.microsoft.com/office/drawing/2014/main" id="{00000000-0008-0000-2900-000006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104772</xdr:colOff>
      <xdr:row>1</xdr:row>
      <xdr:rowOff>107156</xdr:rowOff>
    </xdr:from>
    <xdr:to>
      <xdr:col>4</xdr:col>
      <xdr:colOff>190499</xdr:colOff>
      <xdr:row>3</xdr:row>
      <xdr:rowOff>311200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2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5" y="535781"/>
          <a:ext cx="990602" cy="8231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641616</xdr:colOff>
      <xdr:row>1</xdr:row>
      <xdr:rowOff>60677</xdr:rowOff>
    </xdr:from>
    <xdr:to>
      <xdr:col>7</xdr:col>
      <xdr:colOff>300567</xdr:colOff>
      <xdr:row>3</xdr:row>
      <xdr:rowOff>219863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GrpSpPr/>
      </xdr:nvGrpSpPr>
      <xdr:grpSpPr>
        <a:xfrm>
          <a:off x="2010835" y="489302"/>
          <a:ext cx="2468826" cy="778311"/>
          <a:chOff x="6414749" y="300978"/>
          <a:chExt cx="1487934" cy="510843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2800-000016000000}"/>
              </a:ext>
            </a:extLst>
          </xdr:cNvPr>
          <xdr:cNvSpPr txBox="1"/>
        </xdr:nvSpPr>
        <xdr:spPr>
          <a:xfrm>
            <a:off x="6414749" y="300978"/>
            <a:ext cx="1484035" cy="33629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វិក្កយបត្រចំណាយ</a:t>
            </a:r>
            <a:endParaRPr lang="ca-ES" sz="1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2800-000017000000}"/>
              </a:ext>
            </a:extLst>
          </xdr:cNvPr>
          <xdr:cNvSpPr txBox="1"/>
        </xdr:nvSpPr>
        <xdr:spPr>
          <a:xfrm>
            <a:off x="6415553" y="623917"/>
            <a:ext cx="1487130" cy="1879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OTHER EXPENSE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95249</xdr:colOff>
      <xdr:row>27</xdr:row>
      <xdr:rowOff>47621</xdr:rowOff>
    </xdr:from>
    <xdr:to>
      <xdr:col>5</xdr:col>
      <xdr:colOff>1428748</xdr:colOff>
      <xdr:row>31</xdr:row>
      <xdr:rowOff>54762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/>
      </xdr:nvGrpSpPr>
      <xdr:grpSpPr>
        <a:xfrm>
          <a:off x="309562" y="8512965"/>
          <a:ext cx="2488405" cy="1245391"/>
          <a:chOff x="187262" y="8386956"/>
          <a:chExt cx="2596062" cy="709472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ហត្ថលេខាអ្នកទទួលទំនិញ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2800-00001B000000}"/>
              </a:ext>
            </a:extLst>
          </xdr:cNvPr>
          <xdr:cNvSpPr txBox="1"/>
        </xdr:nvSpPr>
        <xdr:spPr>
          <a:xfrm>
            <a:off x="187262" y="8957137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615813</xdr:colOff>
      <xdr:row>27</xdr:row>
      <xdr:rowOff>47601</xdr:rowOff>
    </xdr:from>
    <xdr:to>
      <xdr:col>9</xdr:col>
      <xdr:colOff>914400</xdr:colOff>
      <xdr:row>31</xdr:row>
      <xdr:rowOff>140466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GrpSpPr/>
      </xdr:nvGrpSpPr>
      <xdr:grpSpPr>
        <a:xfrm>
          <a:off x="3437594" y="8512945"/>
          <a:ext cx="2679837" cy="1331115"/>
          <a:chOff x="168084" y="8513249"/>
          <a:chExt cx="2596062" cy="70583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2800-00001D000000}"/>
              </a:ext>
            </a:extLst>
          </xdr:cNvPr>
          <xdr:cNvSpPr txBox="1"/>
        </xdr:nvSpPr>
        <xdr:spPr>
          <a:xfrm>
            <a:off x="265315" y="8513249"/>
            <a:ext cx="2411324" cy="371942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ហត្ថលេខាពិនិត្យទំនិញ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2800-00001E000000}"/>
              </a:ext>
            </a:extLst>
          </xdr:cNvPr>
          <xdr:cNvSpPr txBox="1"/>
        </xdr:nvSpPr>
        <xdr:spPr>
          <a:xfrm>
            <a:off x="168084" y="9000590"/>
            <a:ext cx="2596062" cy="2184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pSpPr/>
      </xdr:nvGrpSpPr>
      <xdr:grpSpPr>
        <a:xfrm>
          <a:off x="116945" y="1318121"/>
          <a:ext cx="4574117" cy="778471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28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28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</xdr:col>
      <xdr:colOff>19050</xdr:colOff>
      <xdr:row>7</xdr:row>
      <xdr:rowOff>9525</xdr:rowOff>
    </xdr:from>
    <xdr:to>
      <xdr:col>9</xdr:col>
      <xdr:colOff>981075</xdr:colOff>
      <xdr:row>10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228600" y="2057400"/>
          <a:ext cx="5886450" cy="1028700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49419</xdr:colOff>
      <xdr:row>3</xdr:row>
      <xdr:rowOff>57357</xdr:rowOff>
    </xdr:from>
    <xdr:to>
      <xdr:col>9</xdr:col>
      <xdr:colOff>953880</xdr:colOff>
      <xdr:row>5</xdr:row>
      <xdr:rowOff>273901</xdr:rowOff>
    </xdr:to>
    <xdr:grpSp>
      <xdr:nvGrpSpPr>
        <xdr:cNvPr id="1566840" name="$J$4" descr="QuickResponse barcode, level H, version 1, mode alpha, 21x21 cells" title="EXP000002">
          <a:extLst>
            <a:ext uri="{FF2B5EF4-FFF2-40B4-BE49-F238E27FC236}">
              <a16:creationId xmlns:a16="http://schemas.microsoft.com/office/drawing/2014/main" id="{00000000-0008-0000-2800-000078E81700}"/>
            </a:ext>
          </a:extLst>
        </xdr:cNvPr>
        <xdr:cNvGrpSpPr>
          <a:grpSpLocks noChangeAspect="1"/>
        </xdr:cNvGrpSpPr>
      </xdr:nvGrpSpPr>
      <xdr:grpSpPr>
        <a:xfrm>
          <a:off x="5252450" y="1105107"/>
          <a:ext cx="904461" cy="919013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1566616" name="$J$4">
            <a:extLst>
              <a:ext uri="{FF2B5EF4-FFF2-40B4-BE49-F238E27FC236}">
                <a16:creationId xmlns:a16="http://schemas.microsoft.com/office/drawing/2014/main" id="{00000000-0008-0000-2800-000098E71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7" name="$J$4">
            <a:extLst>
              <a:ext uri="{FF2B5EF4-FFF2-40B4-BE49-F238E27FC236}">
                <a16:creationId xmlns:a16="http://schemas.microsoft.com/office/drawing/2014/main" id="{00000000-0008-0000-2800-000099E71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8" name="$J$4">
            <a:extLst>
              <a:ext uri="{FF2B5EF4-FFF2-40B4-BE49-F238E27FC236}">
                <a16:creationId xmlns:a16="http://schemas.microsoft.com/office/drawing/2014/main" id="{00000000-0008-0000-2800-00009AE71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9" name="$J$4">
            <a:extLst>
              <a:ext uri="{FF2B5EF4-FFF2-40B4-BE49-F238E27FC236}">
                <a16:creationId xmlns:a16="http://schemas.microsoft.com/office/drawing/2014/main" id="{00000000-0008-0000-2800-00009BE71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0" name="$J$4">
            <a:extLst>
              <a:ext uri="{FF2B5EF4-FFF2-40B4-BE49-F238E27FC236}">
                <a16:creationId xmlns:a16="http://schemas.microsoft.com/office/drawing/2014/main" id="{00000000-0008-0000-2800-00009CE71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1" name="$J$4">
            <a:extLst>
              <a:ext uri="{FF2B5EF4-FFF2-40B4-BE49-F238E27FC236}">
                <a16:creationId xmlns:a16="http://schemas.microsoft.com/office/drawing/2014/main" id="{00000000-0008-0000-2800-00009DE71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2" name="$J$4">
            <a:extLst>
              <a:ext uri="{FF2B5EF4-FFF2-40B4-BE49-F238E27FC236}">
                <a16:creationId xmlns:a16="http://schemas.microsoft.com/office/drawing/2014/main" id="{00000000-0008-0000-2800-00009EE71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3" name="$J$4">
            <a:extLst>
              <a:ext uri="{FF2B5EF4-FFF2-40B4-BE49-F238E27FC236}">
                <a16:creationId xmlns:a16="http://schemas.microsoft.com/office/drawing/2014/main" id="{00000000-0008-0000-2800-00009FE717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4" name="$J$4">
            <a:extLst>
              <a:ext uri="{FF2B5EF4-FFF2-40B4-BE49-F238E27FC236}">
                <a16:creationId xmlns:a16="http://schemas.microsoft.com/office/drawing/2014/main" id="{00000000-0008-0000-2800-0000A0E71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5" name="$J$4">
            <a:extLst>
              <a:ext uri="{FF2B5EF4-FFF2-40B4-BE49-F238E27FC236}">
                <a16:creationId xmlns:a16="http://schemas.microsoft.com/office/drawing/2014/main" id="{00000000-0008-0000-2800-0000A1E71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6" name="$J$4">
            <a:extLst>
              <a:ext uri="{FF2B5EF4-FFF2-40B4-BE49-F238E27FC236}">
                <a16:creationId xmlns:a16="http://schemas.microsoft.com/office/drawing/2014/main" id="{00000000-0008-0000-2800-0000A2E71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7" name="$J$4">
            <a:extLst>
              <a:ext uri="{FF2B5EF4-FFF2-40B4-BE49-F238E27FC236}">
                <a16:creationId xmlns:a16="http://schemas.microsoft.com/office/drawing/2014/main" id="{00000000-0008-0000-2800-0000A3E71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8" name="$J$4">
            <a:extLst>
              <a:ext uri="{FF2B5EF4-FFF2-40B4-BE49-F238E27FC236}">
                <a16:creationId xmlns:a16="http://schemas.microsoft.com/office/drawing/2014/main" id="{00000000-0008-0000-2800-0000A4E717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9" name="$J$4">
            <a:extLst>
              <a:ext uri="{FF2B5EF4-FFF2-40B4-BE49-F238E27FC236}">
                <a16:creationId xmlns:a16="http://schemas.microsoft.com/office/drawing/2014/main" id="{00000000-0008-0000-2800-0000A5E71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0" name="$J$4">
            <a:extLst>
              <a:ext uri="{FF2B5EF4-FFF2-40B4-BE49-F238E27FC236}">
                <a16:creationId xmlns:a16="http://schemas.microsoft.com/office/drawing/2014/main" id="{00000000-0008-0000-2800-0000A6E71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1" name="$J$4">
            <a:extLst>
              <a:ext uri="{FF2B5EF4-FFF2-40B4-BE49-F238E27FC236}">
                <a16:creationId xmlns:a16="http://schemas.microsoft.com/office/drawing/2014/main" id="{00000000-0008-0000-2800-0000A7E717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2" name="$J$4">
            <a:extLst>
              <a:ext uri="{FF2B5EF4-FFF2-40B4-BE49-F238E27FC236}">
                <a16:creationId xmlns:a16="http://schemas.microsoft.com/office/drawing/2014/main" id="{00000000-0008-0000-2800-0000A8E717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3" name="$J$4">
            <a:extLst>
              <a:ext uri="{FF2B5EF4-FFF2-40B4-BE49-F238E27FC236}">
                <a16:creationId xmlns:a16="http://schemas.microsoft.com/office/drawing/2014/main" id="{00000000-0008-0000-2800-0000A9E717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4" name="$J$4">
            <a:extLst>
              <a:ext uri="{FF2B5EF4-FFF2-40B4-BE49-F238E27FC236}">
                <a16:creationId xmlns:a16="http://schemas.microsoft.com/office/drawing/2014/main" id="{00000000-0008-0000-2800-0000AAE71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5" name="$J$4">
            <a:extLst>
              <a:ext uri="{FF2B5EF4-FFF2-40B4-BE49-F238E27FC236}">
                <a16:creationId xmlns:a16="http://schemas.microsoft.com/office/drawing/2014/main" id="{00000000-0008-0000-2800-0000ABE71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6" name="$J$4">
            <a:extLst>
              <a:ext uri="{FF2B5EF4-FFF2-40B4-BE49-F238E27FC236}">
                <a16:creationId xmlns:a16="http://schemas.microsoft.com/office/drawing/2014/main" id="{00000000-0008-0000-2800-0000ACE71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7" name="$J$4">
            <a:extLst>
              <a:ext uri="{FF2B5EF4-FFF2-40B4-BE49-F238E27FC236}">
                <a16:creationId xmlns:a16="http://schemas.microsoft.com/office/drawing/2014/main" id="{00000000-0008-0000-2800-0000ADE717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8" name="$J$4">
            <a:extLst>
              <a:ext uri="{FF2B5EF4-FFF2-40B4-BE49-F238E27FC236}">
                <a16:creationId xmlns:a16="http://schemas.microsoft.com/office/drawing/2014/main" id="{00000000-0008-0000-2800-0000AEE71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9" name="$J$4">
            <a:extLst>
              <a:ext uri="{FF2B5EF4-FFF2-40B4-BE49-F238E27FC236}">
                <a16:creationId xmlns:a16="http://schemas.microsoft.com/office/drawing/2014/main" id="{00000000-0008-0000-2800-0000AFE717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0" name="$J$4">
            <a:extLst>
              <a:ext uri="{FF2B5EF4-FFF2-40B4-BE49-F238E27FC236}">
                <a16:creationId xmlns:a16="http://schemas.microsoft.com/office/drawing/2014/main" id="{00000000-0008-0000-2800-0000B0E71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1" name="$J$4">
            <a:extLst>
              <a:ext uri="{FF2B5EF4-FFF2-40B4-BE49-F238E27FC236}">
                <a16:creationId xmlns:a16="http://schemas.microsoft.com/office/drawing/2014/main" id="{00000000-0008-0000-2800-0000B1E717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2" name="$J$4">
            <a:extLst>
              <a:ext uri="{FF2B5EF4-FFF2-40B4-BE49-F238E27FC236}">
                <a16:creationId xmlns:a16="http://schemas.microsoft.com/office/drawing/2014/main" id="{00000000-0008-0000-2800-0000B2E717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3" name="$J$4">
            <a:extLst>
              <a:ext uri="{FF2B5EF4-FFF2-40B4-BE49-F238E27FC236}">
                <a16:creationId xmlns:a16="http://schemas.microsoft.com/office/drawing/2014/main" id="{00000000-0008-0000-2800-0000B3E71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4" name="$J$4">
            <a:extLst>
              <a:ext uri="{FF2B5EF4-FFF2-40B4-BE49-F238E27FC236}">
                <a16:creationId xmlns:a16="http://schemas.microsoft.com/office/drawing/2014/main" id="{00000000-0008-0000-2800-0000B4E71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5" name="$J$4">
            <a:extLst>
              <a:ext uri="{FF2B5EF4-FFF2-40B4-BE49-F238E27FC236}">
                <a16:creationId xmlns:a16="http://schemas.microsoft.com/office/drawing/2014/main" id="{00000000-0008-0000-2800-0000B5E71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6" name="$J$4">
            <a:extLst>
              <a:ext uri="{FF2B5EF4-FFF2-40B4-BE49-F238E27FC236}">
                <a16:creationId xmlns:a16="http://schemas.microsoft.com/office/drawing/2014/main" id="{00000000-0008-0000-2800-0000B6E71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7" name="$J$4">
            <a:extLst>
              <a:ext uri="{FF2B5EF4-FFF2-40B4-BE49-F238E27FC236}">
                <a16:creationId xmlns:a16="http://schemas.microsoft.com/office/drawing/2014/main" id="{00000000-0008-0000-2800-0000B7E71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8" name="$J$4">
            <a:extLst>
              <a:ext uri="{FF2B5EF4-FFF2-40B4-BE49-F238E27FC236}">
                <a16:creationId xmlns:a16="http://schemas.microsoft.com/office/drawing/2014/main" id="{00000000-0008-0000-2800-0000B8E717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9" name="$J$4">
            <a:extLst>
              <a:ext uri="{FF2B5EF4-FFF2-40B4-BE49-F238E27FC236}">
                <a16:creationId xmlns:a16="http://schemas.microsoft.com/office/drawing/2014/main" id="{00000000-0008-0000-2800-0000B9E717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0" name="$J$4">
            <a:extLst>
              <a:ext uri="{FF2B5EF4-FFF2-40B4-BE49-F238E27FC236}">
                <a16:creationId xmlns:a16="http://schemas.microsoft.com/office/drawing/2014/main" id="{00000000-0008-0000-2800-0000BAE717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1" name="$J$4">
            <a:extLst>
              <a:ext uri="{FF2B5EF4-FFF2-40B4-BE49-F238E27FC236}">
                <a16:creationId xmlns:a16="http://schemas.microsoft.com/office/drawing/2014/main" id="{00000000-0008-0000-2800-0000BBE717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2" name="$J$4">
            <a:extLst>
              <a:ext uri="{FF2B5EF4-FFF2-40B4-BE49-F238E27FC236}">
                <a16:creationId xmlns:a16="http://schemas.microsoft.com/office/drawing/2014/main" id="{00000000-0008-0000-2800-0000BCE717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3" name="$J$4">
            <a:extLst>
              <a:ext uri="{FF2B5EF4-FFF2-40B4-BE49-F238E27FC236}">
                <a16:creationId xmlns:a16="http://schemas.microsoft.com/office/drawing/2014/main" id="{00000000-0008-0000-2800-0000BDE717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4" name="$J$4">
            <a:extLst>
              <a:ext uri="{FF2B5EF4-FFF2-40B4-BE49-F238E27FC236}">
                <a16:creationId xmlns:a16="http://schemas.microsoft.com/office/drawing/2014/main" id="{00000000-0008-0000-2800-0000BEE71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5" name="$J$4">
            <a:extLst>
              <a:ext uri="{FF2B5EF4-FFF2-40B4-BE49-F238E27FC236}">
                <a16:creationId xmlns:a16="http://schemas.microsoft.com/office/drawing/2014/main" id="{00000000-0008-0000-2800-0000BFE71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6" name="$J$4">
            <a:extLst>
              <a:ext uri="{FF2B5EF4-FFF2-40B4-BE49-F238E27FC236}">
                <a16:creationId xmlns:a16="http://schemas.microsoft.com/office/drawing/2014/main" id="{00000000-0008-0000-2800-0000C0E71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7" name="$J$4">
            <a:extLst>
              <a:ext uri="{FF2B5EF4-FFF2-40B4-BE49-F238E27FC236}">
                <a16:creationId xmlns:a16="http://schemas.microsoft.com/office/drawing/2014/main" id="{00000000-0008-0000-2800-0000C1E71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8" name="$J$4">
            <a:extLst>
              <a:ext uri="{FF2B5EF4-FFF2-40B4-BE49-F238E27FC236}">
                <a16:creationId xmlns:a16="http://schemas.microsoft.com/office/drawing/2014/main" id="{00000000-0008-0000-2800-0000C2E71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9" name="$J$4">
            <a:extLst>
              <a:ext uri="{FF2B5EF4-FFF2-40B4-BE49-F238E27FC236}">
                <a16:creationId xmlns:a16="http://schemas.microsoft.com/office/drawing/2014/main" id="{00000000-0008-0000-2800-0000C3E71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0" name="$J$4">
            <a:extLst>
              <a:ext uri="{FF2B5EF4-FFF2-40B4-BE49-F238E27FC236}">
                <a16:creationId xmlns:a16="http://schemas.microsoft.com/office/drawing/2014/main" id="{00000000-0008-0000-2800-0000C4E717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1" name="$J$4">
            <a:extLst>
              <a:ext uri="{FF2B5EF4-FFF2-40B4-BE49-F238E27FC236}">
                <a16:creationId xmlns:a16="http://schemas.microsoft.com/office/drawing/2014/main" id="{00000000-0008-0000-2800-0000C5E717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2" name="$J$4">
            <a:extLst>
              <a:ext uri="{FF2B5EF4-FFF2-40B4-BE49-F238E27FC236}">
                <a16:creationId xmlns:a16="http://schemas.microsoft.com/office/drawing/2014/main" id="{00000000-0008-0000-2800-0000C6E717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3" name="$J$4">
            <a:extLst>
              <a:ext uri="{FF2B5EF4-FFF2-40B4-BE49-F238E27FC236}">
                <a16:creationId xmlns:a16="http://schemas.microsoft.com/office/drawing/2014/main" id="{00000000-0008-0000-2800-0000C7E71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4" name="$J$4">
            <a:extLst>
              <a:ext uri="{FF2B5EF4-FFF2-40B4-BE49-F238E27FC236}">
                <a16:creationId xmlns:a16="http://schemas.microsoft.com/office/drawing/2014/main" id="{00000000-0008-0000-2800-0000C8E717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5" name="$J$4">
            <a:extLst>
              <a:ext uri="{FF2B5EF4-FFF2-40B4-BE49-F238E27FC236}">
                <a16:creationId xmlns:a16="http://schemas.microsoft.com/office/drawing/2014/main" id="{00000000-0008-0000-2800-0000C9E717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6" name="$J$4">
            <a:extLst>
              <a:ext uri="{FF2B5EF4-FFF2-40B4-BE49-F238E27FC236}">
                <a16:creationId xmlns:a16="http://schemas.microsoft.com/office/drawing/2014/main" id="{00000000-0008-0000-2800-0000CAE717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7" name="$J$4">
            <a:extLst>
              <a:ext uri="{FF2B5EF4-FFF2-40B4-BE49-F238E27FC236}">
                <a16:creationId xmlns:a16="http://schemas.microsoft.com/office/drawing/2014/main" id="{00000000-0008-0000-2800-0000CBE71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8" name="$J$4">
            <a:extLst>
              <a:ext uri="{FF2B5EF4-FFF2-40B4-BE49-F238E27FC236}">
                <a16:creationId xmlns:a16="http://schemas.microsoft.com/office/drawing/2014/main" id="{00000000-0008-0000-2800-0000CCE71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9" name="$J$4">
            <a:extLst>
              <a:ext uri="{FF2B5EF4-FFF2-40B4-BE49-F238E27FC236}">
                <a16:creationId xmlns:a16="http://schemas.microsoft.com/office/drawing/2014/main" id="{00000000-0008-0000-2800-0000CDE71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0" name="$J$4">
            <a:extLst>
              <a:ext uri="{FF2B5EF4-FFF2-40B4-BE49-F238E27FC236}">
                <a16:creationId xmlns:a16="http://schemas.microsoft.com/office/drawing/2014/main" id="{00000000-0008-0000-2800-0000CEE71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1" name="$J$4">
            <a:extLst>
              <a:ext uri="{FF2B5EF4-FFF2-40B4-BE49-F238E27FC236}">
                <a16:creationId xmlns:a16="http://schemas.microsoft.com/office/drawing/2014/main" id="{00000000-0008-0000-2800-0000CFE71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2" name="$J$4">
            <a:extLst>
              <a:ext uri="{FF2B5EF4-FFF2-40B4-BE49-F238E27FC236}">
                <a16:creationId xmlns:a16="http://schemas.microsoft.com/office/drawing/2014/main" id="{00000000-0008-0000-2800-0000D0E71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3" name="$J$4">
            <a:extLst>
              <a:ext uri="{FF2B5EF4-FFF2-40B4-BE49-F238E27FC236}">
                <a16:creationId xmlns:a16="http://schemas.microsoft.com/office/drawing/2014/main" id="{00000000-0008-0000-2800-0000D1E71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4" name="$J$4">
            <a:extLst>
              <a:ext uri="{FF2B5EF4-FFF2-40B4-BE49-F238E27FC236}">
                <a16:creationId xmlns:a16="http://schemas.microsoft.com/office/drawing/2014/main" id="{00000000-0008-0000-2800-0000D2E717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5" name="$J$4">
            <a:extLst>
              <a:ext uri="{FF2B5EF4-FFF2-40B4-BE49-F238E27FC236}">
                <a16:creationId xmlns:a16="http://schemas.microsoft.com/office/drawing/2014/main" id="{00000000-0008-0000-2800-0000D3E717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6" name="$J$4">
            <a:extLst>
              <a:ext uri="{FF2B5EF4-FFF2-40B4-BE49-F238E27FC236}">
                <a16:creationId xmlns:a16="http://schemas.microsoft.com/office/drawing/2014/main" id="{00000000-0008-0000-2800-0000D4E717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7" name="$J$4">
            <a:extLst>
              <a:ext uri="{FF2B5EF4-FFF2-40B4-BE49-F238E27FC236}">
                <a16:creationId xmlns:a16="http://schemas.microsoft.com/office/drawing/2014/main" id="{00000000-0008-0000-2800-0000D5E71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8" name="$J$4">
            <a:extLst>
              <a:ext uri="{FF2B5EF4-FFF2-40B4-BE49-F238E27FC236}">
                <a16:creationId xmlns:a16="http://schemas.microsoft.com/office/drawing/2014/main" id="{00000000-0008-0000-2800-0000D6E71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9" name="$J$4">
            <a:extLst>
              <a:ext uri="{FF2B5EF4-FFF2-40B4-BE49-F238E27FC236}">
                <a16:creationId xmlns:a16="http://schemas.microsoft.com/office/drawing/2014/main" id="{00000000-0008-0000-2800-0000D7E717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0" name="$J$4">
            <a:extLst>
              <a:ext uri="{FF2B5EF4-FFF2-40B4-BE49-F238E27FC236}">
                <a16:creationId xmlns:a16="http://schemas.microsoft.com/office/drawing/2014/main" id="{00000000-0008-0000-2800-0000D8E717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1" name="$J$4">
            <a:extLst>
              <a:ext uri="{FF2B5EF4-FFF2-40B4-BE49-F238E27FC236}">
                <a16:creationId xmlns:a16="http://schemas.microsoft.com/office/drawing/2014/main" id="{00000000-0008-0000-2800-0000D9E71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2" name="$J$4">
            <a:extLst>
              <a:ext uri="{FF2B5EF4-FFF2-40B4-BE49-F238E27FC236}">
                <a16:creationId xmlns:a16="http://schemas.microsoft.com/office/drawing/2014/main" id="{00000000-0008-0000-2800-0000DAE71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3" name="$J$4">
            <a:extLst>
              <a:ext uri="{FF2B5EF4-FFF2-40B4-BE49-F238E27FC236}">
                <a16:creationId xmlns:a16="http://schemas.microsoft.com/office/drawing/2014/main" id="{00000000-0008-0000-2800-0000DBE71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4" name="$J$4">
            <a:extLst>
              <a:ext uri="{FF2B5EF4-FFF2-40B4-BE49-F238E27FC236}">
                <a16:creationId xmlns:a16="http://schemas.microsoft.com/office/drawing/2014/main" id="{00000000-0008-0000-2800-0000DCE71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5" name="$J$4">
            <a:extLst>
              <a:ext uri="{FF2B5EF4-FFF2-40B4-BE49-F238E27FC236}">
                <a16:creationId xmlns:a16="http://schemas.microsoft.com/office/drawing/2014/main" id="{00000000-0008-0000-2800-0000DDE71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6" name="$J$4">
            <a:extLst>
              <a:ext uri="{FF2B5EF4-FFF2-40B4-BE49-F238E27FC236}">
                <a16:creationId xmlns:a16="http://schemas.microsoft.com/office/drawing/2014/main" id="{00000000-0008-0000-2800-0000DEE717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7" name="$J$4">
            <a:extLst>
              <a:ext uri="{FF2B5EF4-FFF2-40B4-BE49-F238E27FC236}">
                <a16:creationId xmlns:a16="http://schemas.microsoft.com/office/drawing/2014/main" id="{00000000-0008-0000-2800-0000DFE717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8" name="$J$4">
            <a:extLst>
              <a:ext uri="{FF2B5EF4-FFF2-40B4-BE49-F238E27FC236}">
                <a16:creationId xmlns:a16="http://schemas.microsoft.com/office/drawing/2014/main" id="{00000000-0008-0000-2800-0000E0E717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9" name="$J$4">
            <a:extLst>
              <a:ext uri="{FF2B5EF4-FFF2-40B4-BE49-F238E27FC236}">
                <a16:creationId xmlns:a16="http://schemas.microsoft.com/office/drawing/2014/main" id="{00000000-0008-0000-2800-0000E1E71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0" name="$J$4">
            <a:extLst>
              <a:ext uri="{FF2B5EF4-FFF2-40B4-BE49-F238E27FC236}">
                <a16:creationId xmlns:a16="http://schemas.microsoft.com/office/drawing/2014/main" id="{00000000-0008-0000-2800-0000E2E71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1" name="$J$4">
            <a:extLst>
              <a:ext uri="{FF2B5EF4-FFF2-40B4-BE49-F238E27FC236}">
                <a16:creationId xmlns:a16="http://schemas.microsoft.com/office/drawing/2014/main" id="{00000000-0008-0000-2800-0000E3E71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2" name="$J$4">
            <a:extLst>
              <a:ext uri="{FF2B5EF4-FFF2-40B4-BE49-F238E27FC236}">
                <a16:creationId xmlns:a16="http://schemas.microsoft.com/office/drawing/2014/main" id="{00000000-0008-0000-2800-0000E4E71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3" name="$J$4">
            <a:extLst>
              <a:ext uri="{FF2B5EF4-FFF2-40B4-BE49-F238E27FC236}">
                <a16:creationId xmlns:a16="http://schemas.microsoft.com/office/drawing/2014/main" id="{00000000-0008-0000-2800-0000E5E71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4" name="$J$4">
            <a:extLst>
              <a:ext uri="{FF2B5EF4-FFF2-40B4-BE49-F238E27FC236}">
                <a16:creationId xmlns:a16="http://schemas.microsoft.com/office/drawing/2014/main" id="{00000000-0008-0000-2800-0000E6E71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5" name="$J$4">
            <a:extLst>
              <a:ext uri="{FF2B5EF4-FFF2-40B4-BE49-F238E27FC236}">
                <a16:creationId xmlns:a16="http://schemas.microsoft.com/office/drawing/2014/main" id="{00000000-0008-0000-2800-0000E7E71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6" name="$J$4">
            <a:extLst>
              <a:ext uri="{FF2B5EF4-FFF2-40B4-BE49-F238E27FC236}">
                <a16:creationId xmlns:a16="http://schemas.microsoft.com/office/drawing/2014/main" id="{00000000-0008-0000-2800-0000E8E71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7" name="$J$4">
            <a:extLst>
              <a:ext uri="{FF2B5EF4-FFF2-40B4-BE49-F238E27FC236}">
                <a16:creationId xmlns:a16="http://schemas.microsoft.com/office/drawing/2014/main" id="{00000000-0008-0000-2800-0000E9E71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8" name="$J$4">
            <a:extLst>
              <a:ext uri="{FF2B5EF4-FFF2-40B4-BE49-F238E27FC236}">
                <a16:creationId xmlns:a16="http://schemas.microsoft.com/office/drawing/2014/main" id="{00000000-0008-0000-2800-0000EAE71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9" name="$J$4">
            <a:extLst>
              <a:ext uri="{FF2B5EF4-FFF2-40B4-BE49-F238E27FC236}">
                <a16:creationId xmlns:a16="http://schemas.microsoft.com/office/drawing/2014/main" id="{00000000-0008-0000-2800-0000EBE71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0" name="$J$4">
            <a:extLst>
              <a:ext uri="{FF2B5EF4-FFF2-40B4-BE49-F238E27FC236}">
                <a16:creationId xmlns:a16="http://schemas.microsoft.com/office/drawing/2014/main" id="{00000000-0008-0000-2800-0000ECE71700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1" name="$J$4">
            <a:extLst>
              <a:ext uri="{FF2B5EF4-FFF2-40B4-BE49-F238E27FC236}">
                <a16:creationId xmlns:a16="http://schemas.microsoft.com/office/drawing/2014/main" id="{00000000-0008-0000-2800-0000EDE71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2" name="$J$4">
            <a:extLst>
              <a:ext uri="{FF2B5EF4-FFF2-40B4-BE49-F238E27FC236}">
                <a16:creationId xmlns:a16="http://schemas.microsoft.com/office/drawing/2014/main" id="{00000000-0008-0000-2800-0000EEE7170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3" name="$J$4">
            <a:extLst>
              <a:ext uri="{FF2B5EF4-FFF2-40B4-BE49-F238E27FC236}">
                <a16:creationId xmlns:a16="http://schemas.microsoft.com/office/drawing/2014/main" id="{00000000-0008-0000-2800-0000EFE71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4" name="$J$4">
            <a:extLst>
              <a:ext uri="{FF2B5EF4-FFF2-40B4-BE49-F238E27FC236}">
                <a16:creationId xmlns:a16="http://schemas.microsoft.com/office/drawing/2014/main" id="{00000000-0008-0000-2800-0000F0E7170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5" name="$J$4">
            <a:extLst>
              <a:ext uri="{FF2B5EF4-FFF2-40B4-BE49-F238E27FC236}">
                <a16:creationId xmlns:a16="http://schemas.microsoft.com/office/drawing/2014/main" id="{00000000-0008-0000-2800-0000F1E71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6" name="$J$4">
            <a:extLst>
              <a:ext uri="{FF2B5EF4-FFF2-40B4-BE49-F238E27FC236}">
                <a16:creationId xmlns:a16="http://schemas.microsoft.com/office/drawing/2014/main" id="{00000000-0008-0000-2800-0000F2E71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7" name="$J$4">
            <a:extLst>
              <a:ext uri="{FF2B5EF4-FFF2-40B4-BE49-F238E27FC236}">
                <a16:creationId xmlns:a16="http://schemas.microsoft.com/office/drawing/2014/main" id="{00000000-0008-0000-2800-0000F3E71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8" name="$J$4">
            <a:extLst>
              <a:ext uri="{FF2B5EF4-FFF2-40B4-BE49-F238E27FC236}">
                <a16:creationId xmlns:a16="http://schemas.microsoft.com/office/drawing/2014/main" id="{00000000-0008-0000-2800-0000F4E71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9" name="$J$4">
            <a:extLst>
              <a:ext uri="{FF2B5EF4-FFF2-40B4-BE49-F238E27FC236}">
                <a16:creationId xmlns:a16="http://schemas.microsoft.com/office/drawing/2014/main" id="{00000000-0008-0000-2800-0000F5E71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0" name="$J$4">
            <a:extLst>
              <a:ext uri="{FF2B5EF4-FFF2-40B4-BE49-F238E27FC236}">
                <a16:creationId xmlns:a16="http://schemas.microsoft.com/office/drawing/2014/main" id="{00000000-0008-0000-2800-0000F6E71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1" name="$J$4">
            <a:extLst>
              <a:ext uri="{FF2B5EF4-FFF2-40B4-BE49-F238E27FC236}">
                <a16:creationId xmlns:a16="http://schemas.microsoft.com/office/drawing/2014/main" id="{00000000-0008-0000-2800-0000F7E71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2" name="$J$4">
            <a:extLst>
              <a:ext uri="{FF2B5EF4-FFF2-40B4-BE49-F238E27FC236}">
                <a16:creationId xmlns:a16="http://schemas.microsoft.com/office/drawing/2014/main" id="{00000000-0008-0000-2800-0000F8E717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3" name="$J$4">
            <a:extLst>
              <a:ext uri="{FF2B5EF4-FFF2-40B4-BE49-F238E27FC236}">
                <a16:creationId xmlns:a16="http://schemas.microsoft.com/office/drawing/2014/main" id="{00000000-0008-0000-2800-0000F9E71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4" name="$J$4">
            <a:extLst>
              <a:ext uri="{FF2B5EF4-FFF2-40B4-BE49-F238E27FC236}">
                <a16:creationId xmlns:a16="http://schemas.microsoft.com/office/drawing/2014/main" id="{00000000-0008-0000-2800-0000FAE717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5" name="$J$4">
            <a:extLst>
              <a:ext uri="{FF2B5EF4-FFF2-40B4-BE49-F238E27FC236}">
                <a16:creationId xmlns:a16="http://schemas.microsoft.com/office/drawing/2014/main" id="{00000000-0008-0000-2800-0000FBE71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6" name="$J$4">
            <a:extLst>
              <a:ext uri="{FF2B5EF4-FFF2-40B4-BE49-F238E27FC236}">
                <a16:creationId xmlns:a16="http://schemas.microsoft.com/office/drawing/2014/main" id="{00000000-0008-0000-2800-0000FCE71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7" name="$J$4">
            <a:extLst>
              <a:ext uri="{FF2B5EF4-FFF2-40B4-BE49-F238E27FC236}">
                <a16:creationId xmlns:a16="http://schemas.microsoft.com/office/drawing/2014/main" id="{00000000-0008-0000-2800-0000FDE717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8" name="$J$4">
            <a:extLst>
              <a:ext uri="{FF2B5EF4-FFF2-40B4-BE49-F238E27FC236}">
                <a16:creationId xmlns:a16="http://schemas.microsoft.com/office/drawing/2014/main" id="{00000000-0008-0000-2800-0000FEE717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9" name="$J$4">
            <a:extLst>
              <a:ext uri="{FF2B5EF4-FFF2-40B4-BE49-F238E27FC236}">
                <a16:creationId xmlns:a16="http://schemas.microsoft.com/office/drawing/2014/main" id="{00000000-0008-0000-2800-0000FFE717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0" name="$J$4">
            <a:extLst>
              <a:ext uri="{FF2B5EF4-FFF2-40B4-BE49-F238E27FC236}">
                <a16:creationId xmlns:a16="http://schemas.microsoft.com/office/drawing/2014/main" id="{00000000-0008-0000-2800-000000E81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1" name="$J$4">
            <a:extLst>
              <a:ext uri="{FF2B5EF4-FFF2-40B4-BE49-F238E27FC236}">
                <a16:creationId xmlns:a16="http://schemas.microsoft.com/office/drawing/2014/main" id="{00000000-0008-0000-2800-000001E817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2" name="$J$4">
            <a:extLst>
              <a:ext uri="{FF2B5EF4-FFF2-40B4-BE49-F238E27FC236}">
                <a16:creationId xmlns:a16="http://schemas.microsoft.com/office/drawing/2014/main" id="{00000000-0008-0000-2800-000002E817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3" name="$J$4">
            <a:extLst>
              <a:ext uri="{FF2B5EF4-FFF2-40B4-BE49-F238E27FC236}">
                <a16:creationId xmlns:a16="http://schemas.microsoft.com/office/drawing/2014/main" id="{00000000-0008-0000-2800-000003E817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4" name="$J$4">
            <a:extLst>
              <a:ext uri="{FF2B5EF4-FFF2-40B4-BE49-F238E27FC236}">
                <a16:creationId xmlns:a16="http://schemas.microsoft.com/office/drawing/2014/main" id="{00000000-0008-0000-2800-000004E81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5" name="$J$4">
            <a:extLst>
              <a:ext uri="{FF2B5EF4-FFF2-40B4-BE49-F238E27FC236}">
                <a16:creationId xmlns:a16="http://schemas.microsoft.com/office/drawing/2014/main" id="{00000000-0008-0000-2800-000005E817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6" name="$J$4">
            <a:extLst>
              <a:ext uri="{FF2B5EF4-FFF2-40B4-BE49-F238E27FC236}">
                <a16:creationId xmlns:a16="http://schemas.microsoft.com/office/drawing/2014/main" id="{00000000-0008-0000-2800-000006E81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7" name="$J$4">
            <a:extLst>
              <a:ext uri="{FF2B5EF4-FFF2-40B4-BE49-F238E27FC236}">
                <a16:creationId xmlns:a16="http://schemas.microsoft.com/office/drawing/2014/main" id="{00000000-0008-0000-2800-000007E81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8" name="$J$4">
            <a:extLst>
              <a:ext uri="{FF2B5EF4-FFF2-40B4-BE49-F238E27FC236}">
                <a16:creationId xmlns:a16="http://schemas.microsoft.com/office/drawing/2014/main" id="{00000000-0008-0000-2800-000008E817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9" name="$J$4">
            <a:extLst>
              <a:ext uri="{FF2B5EF4-FFF2-40B4-BE49-F238E27FC236}">
                <a16:creationId xmlns:a16="http://schemas.microsoft.com/office/drawing/2014/main" id="{00000000-0008-0000-2800-000009E817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0" name="$J$4">
            <a:extLst>
              <a:ext uri="{FF2B5EF4-FFF2-40B4-BE49-F238E27FC236}">
                <a16:creationId xmlns:a16="http://schemas.microsoft.com/office/drawing/2014/main" id="{00000000-0008-0000-2800-00000AE81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1" name="$J$4">
            <a:extLst>
              <a:ext uri="{FF2B5EF4-FFF2-40B4-BE49-F238E27FC236}">
                <a16:creationId xmlns:a16="http://schemas.microsoft.com/office/drawing/2014/main" id="{00000000-0008-0000-2800-00000BE81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2" name="$J$4">
            <a:extLst>
              <a:ext uri="{FF2B5EF4-FFF2-40B4-BE49-F238E27FC236}">
                <a16:creationId xmlns:a16="http://schemas.microsoft.com/office/drawing/2014/main" id="{00000000-0008-0000-2800-00000CE81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3" name="$J$4">
            <a:extLst>
              <a:ext uri="{FF2B5EF4-FFF2-40B4-BE49-F238E27FC236}">
                <a16:creationId xmlns:a16="http://schemas.microsoft.com/office/drawing/2014/main" id="{00000000-0008-0000-2800-00000DE81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4" name="$J$4">
            <a:extLst>
              <a:ext uri="{FF2B5EF4-FFF2-40B4-BE49-F238E27FC236}">
                <a16:creationId xmlns:a16="http://schemas.microsoft.com/office/drawing/2014/main" id="{00000000-0008-0000-2800-00000EE81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5" name="$J$4">
            <a:extLst>
              <a:ext uri="{FF2B5EF4-FFF2-40B4-BE49-F238E27FC236}">
                <a16:creationId xmlns:a16="http://schemas.microsoft.com/office/drawing/2014/main" id="{00000000-0008-0000-2800-00000FE817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6" name="$J$4">
            <a:extLst>
              <a:ext uri="{FF2B5EF4-FFF2-40B4-BE49-F238E27FC236}">
                <a16:creationId xmlns:a16="http://schemas.microsoft.com/office/drawing/2014/main" id="{00000000-0008-0000-2800-000010E81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7" name="$J$4">
            <a:extLst>
              <a:ext uri="{FF2B5EF4-FFF2-40B4-BE49-F238E27FC236}">
                <a16:creationId xmlns:a16="http://schemas.microsoft.com/office/drawing/2014/main" id="{00000000-0008-0000-2800-000011E817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8" name="$J$4">
            <a:extLst>
              <a:ext uri="{FF2B5EF4-FFF2-40B4-BE49-F238E27FC236}">
                <a16:creationId xmlns:a16="http://schemas.microsoft.com/office/drawing/2014/main" id="{00000000-0008-0000-2800-000012E817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9" name="$J$4">
            <a:extLst>
              <a:ext uri="{FF2B5EF4-FFF2-40B4-BE49-F238E27FC236}">
                <a16:creationId xmlns:a16="http://schemas.microsoft.com/office/drawing/2014/main" id="{00000000-0008-0000-2800-000013E81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0" name="$J$4">
            <a:extLst>
              <a:ext uri="{FF2B5EF4-FFF2-40B4-BE49-F238E27FC236}">
                <a16:creationId xmlns:a16="http://schemas.microsoft.com/office/drawing/2014/main" id="{00000000-0008-0000-2800-000014E817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1" name="$J$4">
            <a:extLst>
              <a:ext uri="{FF2B5EF4-FFF2-40B4-BE49-F238E27FC236}">
                <a16:creationId xmlns:a16="http://schemas.microsoft.com/office/drawing/2014/main" id="{00000000-0008-0000-2800-000015E817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2" name="$J$4">
            <a:extLst>
              <a:ext uri="{FF2B5EF4-FFF2-40B4-BE49-F238E27FC236}">
                <a16:creationId xmlns:a16="http://schemas.microsoft.com/office/drawing/2014/main" id="{00000000-0008-0000-2800-000016E81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3" name="$J$4">
            <a:extLst>
              <a:ext uri="{FF2B5EF4-FFF2-40B4-BE49-F238E27FC236}">
                <a16:creationId xmlns:a16="http://schemas.microsoft.com/office/drawing/2014/main" id="{00000000-0008-0000-2800-000017E817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4" name="$J$4">
            <a:extLst>
              <a:ext uri="{FF2B5EF4-FFF2-40B4-BE49-F238E27FC236}">
                <a16:creationId xmlns:a16="http://schemas.microsoft.com/office/drawing/2014/main" id="{00000000-0008-0000-2800-000018E81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5" name="$J$4">
            <a:extLst>
              <a:ext uri="{FF2B5EF4-FFF2-40B4-BE49-F238E27FC236}">
                <a16:creationId xmlns:a16="http://schemas.microsoft.com/office/drawing/2014/main" id="{00000000-0008-0000-2800-000019E817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6" name="$J$4">
            <a:extLst>
              <a:ext uri="{FF2B5EF4-FFF2-40B4-BE49-F238E27FC236}">
                <a16:creationId xmlns:a16="http://schemas.microsoft.com/office/drawing/2014/main" id="{00000000-0008-0000-2800-00001AE817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7" name="$J$4">
            <a:extLst>
              <a:ext uri="{FF2B5EF4-FFF2-40B4-BE49-F238E27FC236}">
                <a16:creationId xmlns:a16="http://schemas.microsoft.com/office/drawing/2014/main" id="{00000000-0008-0000-2800-00001BE81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8" name="$J$4">
            <a:extLst>
              <a:ext uri="{FF2B5EF4-FFF2-40B4-BE49-F238E27FC236}">
                <a16:creationId xmlns:a16="http://schemas.microsoft.com/office/drawing/2014/main" id="{00000000-0008-0000-2800-00001CE817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9" name="$J$4">
            <a:extLst>
              <a:ext uri="{FF2B5EF4-FFF2-40B4-BE49-F238E27FC236}">
                <a16:creationId xmlns:a16="http://schemas.microsoft.com/office/drawing/2014/main" id="{00000000-0008-0000-2800-00001DE81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0" name="$J$4">
            <a:extLst>
              <a:ext uri="{FF2B5EF4-FFF2-40B4-BE49-F238E27FC236}">
                <a16:creationId xmlns:a16="http://schemas.microsoft.com/office/drawing/2014/main" id="{00000000-0008-0000-2800-00001EE81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1" name="$J$4">
            <a:extLst>
              <a:ext uri="{FF2B5EF4-FFF2-40B4-BE49-F238E27FC236}">
                <a16:creationId xmlns:a16="http://schemas.microsoft.com/office/drawing/2014/main" id="{00000000-0008-0000-2800-00001FE81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2" name="$J$4">
            <a:extLst>
              <a:ext uri="{FF2B5EF4-FFF2-40B4-BE49-F238E27FC236}">
                <a16:creationId xmlns:a16="http://schemas.microsoft.com/office/drawing/2014/main" id="{00000000-0008-0000-2800-000020E817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3" name="$J$4">
            <a:extLst>
              <a:ext uri="{FF2B5EF4-FFF2-40B4-BE49-F238E27FC236}">
                <a16:creationId xmlns:a16="http://schemas.microsoft.com/office/drawing/2014/main" id="{00000000-0008-0000-2800-000021E817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4" name="$J$4">
            <a:extLst>
              <a:ext uri="{FF2B5EF4-FFF2-40B4-BE49-F238E27FC236}">
                <a16:creationId xmlns:a16="http://schemas.microsoft.com/office/drawing/2014/main" id="{00000000-0008-0000-2800-000022E81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5" name="$J$4">
            <a:extLst>
              <a:ext uri="{FF2B5EF4-FFF2-40B4-BE49-F238E27FC236}">
                <a16:creationId xmlns:a16="http://schemas.microsoft.com/office/drawing/2014/main" id="{00000000-0008-0000-2800-000023E817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6" name="$J$4">
            <a:extLst>
              <a:ext uri="{FF2B5EF4-FFF2-40B4-BE49-F238E27FC236}">
                <a16:creationId xmlns:a16="http://schemas.microsoft.com/office/drawing/2014/main" id="{00000000-0008-0000-2800-000024E817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7" name="$J$4">
            <a:extLst>
              <a:ext uri="{FF2B5EF4-FFF2-40B4-BE49-F238E27FC236}">
                <a16:creationId xmlns:a16="http://schemas.microsoft.com/office/drawing/2014/main" id="{00000000-0008-0000-2800-000025E81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8" name="$J$4">
            <a:extLst>
              <a:ext uri="{FF2B5EF4-FFF2-40B4-BE49-F238E27FC236}">
                <a16:creationId xmlns:a16="http://schemas.microsoft.com/office/drawing/2014/main" id="{00000000-0008-0000-2800-000026E81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9" name="$J$4">
            <a:extLst>
              <a:ext uri="{FF2B5EF4-FFF2-40B4-BE49-F238E27FC236}">
                <a16:creationId xmlns:a16="http://schemas.microsoft.com/office/drawing/2014/main" id="{00000000-0008-0000-2800-000027E81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0" name="$J$4">
            <a:extLst>
              <a:ext uri="{FF2B5EF4-FFF2-40B4-BE49-F238E27FC236}">
                <a16:creationId xmlns:a16="http://schemas.microsoft.com/office/drawing/2014/main" id="{00000000-0008-0000-2800-000028E81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1" name="$J$4">
            <a:extLst>
              <a:ext uri="{FF2B5EF4-FFF2-40B4-BE49-F238E27FC236}">
                <a16:creationId xmlns:a16="http://schemas.microsoft.com/office/drawing/2014/main" id="{00000000-0008-0000-2800-000029E81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2" name="$J$4">
            <a:extLst>
              <a:ext uri="{FF2B5EF4-FFF2-40B4-BE49-F238E27FC236}">
                <a16:creationId xmlns:a16="http://schemas.microsoft.com/office/drawing/2014/main" id="{00000000-0008-0000-2800-00002AE81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3" name="$J$4">
            <a:extLst>
              <a:ext uri="{FF2B5EF4-FFF2-40B4-BE49-F238E27FC236}">
                <a16:creationId xmlns:a16="http://schemas.microsoft.com/office/drawing/2014/main" id="{00000000-0008-0000-2800-00002BE817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4" name="$J$4">
            <a:extLst>
              <a:ext uri="{FF2B5EF4-FFF2-40B4-BE49-F238E27FC236}">
                <a16:creationId xmlns:a16="http://schemas.microsoft.com/office/drawing/2014/main" id="{00000000-0008-0000-2800-00002CE817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5" name="$J$4">
            <a:extLst>
              <a:ext uri="{FF2B5EF4-FFF2-40B4-BE49-F238E27FC236}">
                <a16:creationId xmlns:a16="http://schemas.microsoft.com/office/drawing/2014/main" id="{00000000-0008-0000-2800-00002DE81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6" name="$J$4">
            <a:extLst>
              <a:ext uri="{FF2B5EF4-FFF2-40B4-BE49-F238E27FC236}">
                <a16:creationId xmlns:a16="http://schemas.microsoft.com/office/drawing/2014/main" id="{00000000-0008-0000-2800-00002EE817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7" name="$J$4">
            <a:extLst>
              <a:ext uri="{FF2B5EF4-FFF2-40B4-BE49-F238E27FC236}">
                <a16:creationId xmlns:a16="http://schemas.microsoft.com/office/drawing/2014/main" id="{00000000-0008-0000-2800-00002FE817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8" name="$J$4">
            <a:extLst>
              <a:ext uri="{FF2B5EF4-FFF2-40B4-BE49-F238E27FC236}">
                <a16:creationId xmlns:a16="http://schemas.microsoft.com/office/drawing/2014/main" id="{00000000-0008-0000-2800-000030E817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9" name="$J$4">
            <a:extLst>
              <a:ext uri="{FF2B5EF4-FFF2-40B4-BE49-F238E27FC236}">
                <a16:creationId xmlns:a16="http://schemas.microsoft.com/office/drawing/2014/main" id="{00000000-0008-0000-2800-000031E81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0" name="$J$4">
            <a:extLst>
              <a:ext uri="{FF2B5EF4-FFF2-40B4-BE49-F238E27FC236}">
                <a16:creationId xmlns:a16="http://schemas.microsoft.com/office/drawing/2014/main" id="{00000000-0008-0000-2800-000032E81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1" name="$J$4">
            <a:extLst>
              <a:ext uri="{FF2B5EF4-FFF2-40B4-BE49-F238E27FC236}">
                <a16:creationId xmlns:a16="http://schemas.microsoft.com/office/drawing/2014/main" id="{00000000-0008-0000-2800-000033E81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2" name="$J$4">
            <a:extLst>
              <a:ext uri="{FF2B5EF4-FFF2-40B4-BE49-F238E27FC236}">
                <a16:creationId xmlns:a16="http://schemas.microsoft.com/office/drawing/2014/main" id="{00000000-0008-0000-2800-000034E81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3" name="$J$4">
            <a:extLst>
              <a:ext uri="{FF2B5EF4-FFF2-40B4-BE49-F238E27FC236}">
                <a16:creationId xmlns:a16="http://schemas.microsoft.com/office/drawing/2014/main" id="{00000000-0008-0000-2800-000035E817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4" name="$J$4">
            <a:extLst>
              <a:ext uri="{FF2B5EF4-FFF2-40B4-BE49-F238E27FC236}">
                <a16:creationId xmlns:a16="http://schemas.microsoft.com/office/drawing/2014/main" id="{00000000-0008-0000-2800-000036E81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5" name="$J$4">
            <a:extLst>
              <a:ext uri="{FF2B5EF4-FFF2-40B4-BE49-F238E27FC236}">
                <a16:creationId xmlns:a16="http://schemas.microsoft.com/office/drawing/2014/main" id="{00000000-0008-0000-2800-000037E817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6" name="$J$4">
            <a:extLst>
              <a:ext uri="{FF2B5EF4-FFF2-40B4-BE49-F238E27FC236}">
                <a16:creationId xmlns:a16="http://schemas.microsoft.com/office/drawing/2014/main" id="{00000000-0008-0000-2800-000038E817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7" name="$J$4">
            <a:extLst>
              <a:ext uri="{FF2B5EF4-FFF2-40B4-BE49-F238E27FC236}">
                <a16:creationId xmlns:a16="http://schemas.microsoft.com/office/drawing/2014/main" id="{00000000-0008-0000-2800-000039E81700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8" name="$J$4">
            <a:extLst>
              <a:ext uri="{FF2B5EF4-FFF2-40B4-BE49-F238E27FC236}">
                <a16:creationId xmlns:a16="http://schemas.microsoft.com/office/drawing/2014/main" id="{00000000-0008-0000-2800-00003AE817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9" name="$J$4">
            <a:extLst>
              <a:ext uri="{FF2B5EF4-FFF2-40B4-BE49-F238E27FC236}">
                <a16:creationId xmlns:a16="http://schemas.microsoft.com/office/drawing/2014/main" id="{00000000-0008-0000-2800-00003BE817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0" name="$J$4">
            <a:extLst>
              <a:ext uri="{FF2B5EF4-FFF2-40B4-BE49-F238E27FC236}">
                <a16:creationId xmlns:a16="http://schemas.microsoft.com/office/drawing/2014/main" id="{00000000-0008-0000-2800-00003CE81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1" name="$J$4">
            <a:extLst>
              <a:ext uri="{FF2B5EF4-FFF2-40B4-BE49-F238E27FC236}">
                <a16:creationId xmlns:a16="http://schemas.microsoft.com/office/drawing/2014/main" id="{00000000-0008-0000-2800-00003DE817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2" name="$J$4">
            <a:extLst>
              <a:ext uri="{FF2B5EF4-FFF2-40B4-BE49-F238E27FC236}">
                <a16:creationId xmlns:a16="http://schemas.microsoft.com/office/drawing/2014/main" id="{00000000-0008-0000-2800-00003EE817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3" name="$J$4">
            <a:extLst>
              <a:ext uri="{FF2B5EF4-FFF2-40B4-BE49-F238E27FC236}">
                <a16:creationId xmlns:a16="http://schemas.microsoft.com/office/drawing/2014/main" id="{00000000-0008-0000-2800-00003FE81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4" name="$J$4">
            <a:extLst>
              <a:ext uri="{FF2B5EF4-FFF2-40B4-BE49-F238E27FC236}">
                <a16:creationId xmlns:a16="http://schemas.microsoft.com/office/drawing/2014/main" id="{00000000-0008-0000-2800-000040E817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5" name="$J$4">
            <a:extLst>
              <a:ext uri="{FF2B5EF4-FFF2-40B4-BE49-F238E27FC236}">
                <a16:creationId xmlns:a16="http://schemas.microsoft.com/office/drawing/2014/main" id="{00000000-0008-0000-2800-000041E81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6" name="$J$4">
            <a:extLst>
              <a:ext uri="{FF2B5EF4-FFF2-40B4-BE49-F238E27FC236}">
                <a16:creationId xmlns:a16="http://schemas.microsoft.com/office/drawing/2014/main" id="{00000000-0008-0000-2800-000042E81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7" name="$J$4">
            <a:extLst>
              <a:ext uri="{FF2B5EF4-FFF2-40B4-BE49-F238E27FC236}">
                <a16:creationId xmlns:a16="http://schemas.microsoft.com/office/drawing/2014/main" id="{00000000-0008-0000-2800-000043E81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8" name="$J$4">
            <a:extLst>
              <a:ext uri="{FF2B5EF4-FFF2-40B4-BE49-F238E27FC236}">
                <a16:creationId xmlns:a16="http://schemas.microsoft.com/office/drawing/2014/main" id="{00000000-0008-0000-2800-000044E81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9" name="$J$4">
            <a:extLst>
              <a:ext uri="{FF2B5EF4-FFF2-40B4-BE49-F238E27FC236}">
                <a16:creationId xmlns:a16="http://schemas.microsoft.com/office/drawing/2014/main" id="{00000000-0008-0000-2800-000045E81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0" name="$J$4">
            <a:extLst>
              <a:ext uri="{FF2B5EF4-FFF2-40B4-BE49-F238E27FC236}">
                <a16:creationId xmlns:a16="http://schemas.microsoft.com/office/drawing/2014/main" id="{00000000-0008-0000-2800-000046E817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1" name="$J$4">
            <a:extLst>
              <a:ext uri="{FF2B5EF4-FFF2-40B4-BE49-F238E27FC236}">
                <a16:creationId xmlns:a16="http://schemas.microsoft.com/office/drawing/2014/main" id="{00000000-0008-0000-2800-000047E817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2" name="$J$4">
            <a:extLst>
              <a:ext uri="{FF2B5EF4-FFF2-40B4-BE49-F238E27FC236}">
                <a16:creationId xmlns:a16="http://schemas.microsoft.com/office/drawing/2014/main" id="{00000000-0008-0000-2800-000048E817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3" name="$J$4">
            <a:extLst>
              <a:ext uri="{FF2B5EF4-FFF2-40B4-BE49-F238E27FC236}">
                <a16:creationId xmlns:a16="http://schemas.microsoft.com/office/drawing/2014/main" id="{00000000-0008-0000-2800-000049E817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4" name="$J$4">
            <a:extLst>
              <a:ext uri="{FF2B5EF4-FFF2-40B4-BE49-F238E27FC236}">
                <a16:creationId xmlns:a16="http://schemas.microsoft.com/office/drawing/2014/main" id="{00000000-0008-0000-2800-00004AE81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5" name="$J$4">
            <a:extLst>
              <a:ext uri="{FF2B5EF4-FFF2-40B4-BE49-F238E27FC236}">
                <a16:creationId xmlns:a16="http://schemas.microsoft.com/office/drawing/2014/main" id="{00000000-0008-0000-2800-00004BE817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6" name="$J$4">
            <a:extLst>
              <a:ext uri="{FF2B5EF4-FFF2-40B4-BE49-F238E27FC236}">
                <a16:creationId xmlns:a16="http://schemas.microsoft.com/office/drawing/2014/main" id="{00000000-0008-0000-2800-00004CE817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7" name="$J$4">
            <a:extLst>
              <a:ext uri="{FF2B5EF4-FFF2-40B4-BE49-F238E27FC236}">
                <a16:creationId xmlns:a16="http://schemas.microsoft.com/office/drawing/2014/main" id="{00000000-0008-0000-2800-00004DE8170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8" name="$J$4">
            <a:extLst>
              <a:ext uri="{FF2B5EF4-FFF2-40B4-BE49-F238E27FC236}">
                <a16:creationId xmlns:a16="http://schemas.microsoft.com/office/drawing/2014/main" id="{00000000-0008-0000-2800-00004EE81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9" name="$J$4">
            <a:extLst>
              <a:ext uri="{FF2B5EF4-FFF2-40B4-BE49-F238E27FC236}">
                <a16:creationId xmlns:a16="http://schemas.microsoft.com/office/drawing/2014/main" id="{00000000-0008-0000-2800-00004FE817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0" name="$J$4">
            <a:extLst>
              <a:ext uri="{FF2B5EF4-FFF2-40B4-BE49-F238E27FC236}">
                <a16:creationId xmlns:a16="http://schemas.microsoft.com/office/drawing/2014/main" id="{00000000-0008-0000-2800-000050E817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1" name="$J$4">
            <a:extLst>
              <a:ext uri="{FF2B5EF4-FFF2-40B4-BE49-F238E27FC236}">
                <a16:creationId xmlns:a16="http://schemas.microsoft.com/office/drawing/2014/main" id="{00000000-0008-0000-2800-000051E81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2" name="$J$4">
            <a:extLst>
              <a:ext uri="{FF2B5EF4-FFF2-40B4-BE49-F238E27FC236}">
                <a16:creationId xmlns:a16="http://schemas.microsoft.com/office/drawing/2014/main" id="{00000000-0008-0000-2800-000052E817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3" name="$J$4">
            <a:extLst>
              <a:ext uri="{FF2B5EF4-FFF2-40B4-BE49-F238E27FC236}">
                <a16:creationId xmlns:a16="http://schemas.microsoft.com/office/drawing/2014/main" id="{00000000-0008-0000-2800-000053E81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4" name="$J$4">
            <a:extLst>
              <a:ext uri="{FF2B5EF4-FFF2-40B4-BE49-F238E27FC236}">
                <a16:creationId xmlns:a16="http://schemas.microsoft.com/office/drawing/2014/main" id="{00000000-0008-0000-2800-000054E81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5" name="$J$4">
            <a:extLst>
              <a:ext uri="{FF2B5EF4-FFF2-40B4-BE49-F238E27FC236}">
                <a16:creationId xmlns:a16="http://schemas.microsoft.com/office/drawing/2014/main" id="{00000000-0008-0000-2800-000055E81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6" name="$J$4">
            <a:extLst>
              <a:ext uri="{FF2B5EF4-FFF2-40B4-BE49-F238E27FC236}">
                <a16:creationId xmlns:a16="http://schemas.microsoft.com/office/drawing/2014/main" id="{00000000-0008-0000-2800-000056E81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7" name="$J$4">
            <a:extLst>
              <a:ext uri="{FF2B5EF4-FFF2-40B4-BE49-F238E27FC236}">
                <a16:creationId xmlns:a16="http://schemas.microsoft.com/office/drawing/2014/main" id="{00000000-0008-0000-2800-000057E81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8" name="$J$4">
            <a:extLst>
              <a:ext uri="{FF2B5EF4-FFF2-40B4-BE49-F238E27FC236}">
                <a16:creationId xmlns:a16="http://schemas.microsoft.com/office/drawing/2014/main" id="{00000000-0008-0000-2800-000058E817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9" name="$J$4">
            <a:extLst>
              <a:ext uri="{FF2B5EF4-FFF2-40B4-BE49-F238E27FC236}">
                <a16:creationId xmlns:a16="http://schemas.microsoft.com/office/drawing/2014/main" id="{00000000-0008-0000-2800-000059E81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0" name="$J$4">
            <a:extLst>
              <a:ext uri="{FF2B5EF4-FFF2-40B4-BE49-F238E27FC236}">
                <a16:creationId xmlns:a16="http://schemas.microsoft.com/office/drawing/2014/main" id="{00000000-0008-0000-2800-00005AE81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1" name="$J$4">
            <a:extLst>
              <a:ext uri="{FF2B5EF4-FFF2-40B4-BE49-F238E27FC236}">
                <a16:creationId xmlns:a16="http://schemas.microsoft.com/office/drawing/2014/main" id="{00000000-0008-0000-2800-00005BE81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2" name="$J$4">
            <a:extLst>
              <a:ext uri="{FF2B5EF4-FFF2-40B4-BE49-F238E27FC236}">
                <a16:creationId xmlns:a16="http://schemas.microsoft.com/office/drawing/2014/main" id="{00000000-0008-0000-2800-00005CE81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3" name="$J$4">
            <a:extLst>
              <a:ext uri="{FF2B5EF4-FFF2-40B4-BE49-F238E27FC236}">
                <a16:creationId xmlns:a16="http://schemas.microsoft.com/office/drawing/2014/main" id="{00000000-0008-0000-2800-00005DE817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4" name="$J$4">
            <a:extLst>
              <a:ext uri="{FF2B5EF4-FFF2-40B4-BE49-F238E27FC236}">
                <a16:creationId xmlns:a16="http://schemas.microsoft.com/office/drawing/2014/main" id="{00000000-0008-0000-2800-00005EE81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5" name="$J$4">
            <a:extLst>
              <a:ext uri="{FF2B5EF4-FFF2-40B4-BE49-F238E27FC236}">
                <a16:creationId xmlns:a16="http://schemas.microsoft.com/office/drawing/2014/main" id="{00000000-0008-0000-2800-00005FE81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6" name="$J$4">
            <a:extLst>
              <a:ext uri="{FF2B5EF4-FFF2-40B4-BE49-F238E27FC236}">
                <a16:creationId xmlns:a16="http://schemas.microsoft.com/office/drawing/2014/main" id="{00000000-0008-0000-2800-000060E817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7" name="$J$4">
            <a:extLst>
              <a:ext uri="{FF2B5EF4-FFF2-40B4-BE49-F238E27FC236}">
                <a16:creationId xmlns:a16="http://schemas.microsoft.com/office/drawing/2014/main" id="{00000000-0008-0000-2800-000061E817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8" name="$J$4">
            <a:extLst>
              <a:ext uri="{FF2B5EF4-FFF2-40B4-BE49-F238E27FC236}">
                <a16:creationId xmlns:a16="http://schemas.microsoft.com/office/drawing/2014/main" id="{00000000-0008-0000-2800-000062E817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9" name="$J$4">
            <a:extLst>
              <a:ext uri="{FF2B5EF4-FFF2-40B4-BE49-F238E27FC236}">
                <a16:creationId xmlns:a16="http://schemas.microsoft.com/office/drawing/2014/main" id="{00000000-0008-0000-2800-000063E817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0" name="$J$4">
            <a:extLst>
              <a:ext uri="{FF2B5EF4-FFF2-40B4-BE49-F238E27FC236}">
                <a16:creationId xmlns:a16="http://schemas.microsoft.com/office/drawing/2014/main" id="{00000000-0008-0000-2800-000064E81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1" name="$J$4">
            <a:extLst>
              <a:ext uri="{FF2B5EF4-FFF2-40B4-BE49-F238E27FC236}">
                <a16:creationId xmlns:a16="http://schemas.microsoft.com/office/drawing/2014/main" id="{00000000-0008-0000-2800-000065E817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2" name="$J$4">
            <a:extLst>
              <a:ext uri="{FF2B5EF4-FFF2-40B4-BE49-F238E27FC236}">
                <a16:creationId xmlns:a16="http://schemas.microsoft.com/office/drawing/2014/main" id="{00000000-0008-0000-2800-000066E817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3" name="$J$4">
            <a:extLst>
              <a:ext uri="{FF2B5EF4-FFF2-40B4-BE49-F238E27FC236}">
                <a16:creationId xmlns:a16="http://schemas.microsoft.com/office/drawing/2014/main" id="{00000000-0008-0000-2800-000067E81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4" name="$J$4">
            <a:extLst>
              <a:ext uri="{FF2B5EF4-FFF2-40B4-BE49-F238E27FC236}">
                <a16:creationId xmlns:a16="http://schemas.microsoft.com/office/drawing/2014/main" id="{00000000-0008-0000-2800-000068E81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5" name="$J$4">
            <a:extLst>
              <a:ext uri="{FF2B5EF4-FFF2-40B4-BE49-F238E27FC236}">
                <a16:creationId xmlns:a16="http://schemas.microsoft.com/office/drawing/2014/main" id="{00000000-0008-0000-2800-000069E81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6" name="$J$4">
            <a:extLst>
              <a:ext uri="{FF2B5EF4-FFF2-40B4-BE49-F238E27FC236}">
                <a16:creationId xmlns:a16="http://schemas.microsoft.com/office/drawing/2014/main" id="{00000000-0008-0000-2800-00006AE817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7" name="$J$4">
            <a:extLst>
              <a:ext uri="{FF2B5EF4-FFF2-40B4-BE49-F238E27FC236}">
                <a16:creationId xmlns:a16="http://schemas.microsoft.com/office/drawing/2014/main" id="{00000000-0008-0000-2800-00006BE817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8" name="$J$4">
            <a:extLst>
              <a:ext uri="{FF2B5EF4-FFF2-40B4-BE49-F238E27FC236}">
                <a16:creationId xmlns:a16="http://schemas.microsoft.com/office/drawing/2014/main" id="{00000000-0008-0000-2800-00006CE81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9" name="$J$4">
            <a:extLst>
              <a:ext uri="{FF2B5EF4-FFF2-40B4-BE49-F238E27FC236}">
                <a16:creationId xmlns:a16="http://schemas.microsoft.com/office/drawing/2014/main" id="{00000000-0008-0000-2800-00006DE817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0" name="$J$4">
            <a:extLst>
              <a:ext uri="{FF2B5EF4-FFF2-40B4-BE49-F238E27FC236}">
                <a16:creationId xmlns:a16="http://schemas.microsoft.com/office/drawing/2014/main" id="{00000000-0008-0000-2800-00006EE817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1" name="$J$4">
            <a:extLst>
              <a:ext uri="{FF2B5EF4-FFF2-40B4-BE49-F238E27FC236}">
                <a16:creationId xmlns:a16="http://schemas.microsoft.com/office/drawing/2014/main" id="{00000000-0008-0000-2800-00006FE81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2" name="$J$4">
            <a:extLst>
              <a:ext uri="{FF2B5EF4-FFF2-40B4-BE49-F238E27FC236}">
                <a16:creationId xmlns:a16="http://schemas.microsoft.com/office/drawing/2014/main" id="{00000000-0008-0000-2800-000070E81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3" name="$J$4">
            <a:extLst>
              <a:ext uri="{FF2B5EF4-FFF2-40B4-BE49-F238E27FC236}">
                <a16:creationId xmlns:a16="http://schemas.microsoft.com/office/drawing/2014/main" id="{00000000-0008-0000-2800-000071E817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4" name="$J$4">
            <a:extLst>
              <a:ext uri="{FF2B5EF4-FFF2-40B4-BE49-F238E27FC236}">
                <a16:creationId xmlns:a16="http://schemas.microsoft.com/office/drawing/2014/main" id="{00000000-0008-0000-2800-000072E81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5" name="$J$4">
            <a:extLst>
              <a:ext uri="{FF2B5EF4-FFF2-40B4-BE49-F238E27FC236}">
                <a16:creationId xmlns:a16="http://schemas.microsoft.com/office/drawing/2014/main" id="{00000000-0008-0000-2800-000073E817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6" name="$J$4">
            <a:extLst>
              <a:ext uri="{FF2B5EF4-FFF2-40B4-BE49-F238E27FC236}">
                <a16:creationId xmlns:a16="http://schemas.microsoft.com/office/drawing/2014/main" id="{00000000-0008-0000-2800-000074E817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7" name="$J$4">
            <a:extLst>
              <a:ext uri="{FF2B5EF4-FFF2-40B4-BE49-F238E27FC236}">
                <a16:creationId xmlns:a16="http://schemas.microsoft.com/office/drawing/2014/main" id="{00000000-0008-0000-2800-000075E817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8" name="$J$4">
            <a:extLst>
              <a:ext uri="{FF2B5EF4-FFF2-40B4-BE49-F238E27FC236}">
                <a16:creationId xmlns:a16="http://schemas.microsoft.com/office/drawing/2014/main" id="{00000000-0008-0000-2800-000076E81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9" name="$J$4">
            <a:extLst>
              <a:ext uri="{FF2B5EF4-FFF2-40B4-BE49-F238E27FC236}">
                <a16:creationId xmlns:a16="http://schemas.microsoft.com/office/drawing/2014/main" id="{00000000-0008-0000-2800-000077E81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85725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1563661" name="Button 13" hidden="1">
              <a:extLst>
                <a:ext uri="{63B3BB69-23CF-44E3-9099-C40C66FF867C}">
                  <a14:compatExt spid="_x0000_s1563661"/>
                </a:ext>
                <a:ext uri="{FF2B5EF4-FFF2-40B4-BE49-F238E27FC236}">
                  <a16:creationId xmlns:a16="http://schemas.microsoft.com/office/drawing/2014/main" id="{00000000-0008-0000-2900-00000D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Check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142875</xdr:rowOff>
        </xdr:from>
        <xdr:to>
          <xdr:col>16</xdr:col>
          <xdr:colOff>285750</xdr:colOff>
          <xdr:row>26</xdr:row>
          <xdr:rowOff>295275</xdr:rowOff>
        </xdr:to>
        <xdr:sp macro="" textlink="">
          <xdr:nvSpPr>
            <xdr:cNvPr id="1563664" name="Button 16" hidden="1">
              <a:extLst>
                <a:ext uri="{63B3BB69-23CF-44E3-9099-C40C66FF867C}">
                  <a14:compatExt spid="_x0000_s1563664"/>
                </a:ext>
                <a:ext uri="{FF2B5EF4-FFF2-40B4-BE49-F238E27FC236}">
                  <a16:creationId xmlns:a16="http://schemas.microsoft.com/office/drawing/2014/main" id="{00000000-0008-0000-2900-000010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Expense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95250</xdr:rowOff>
        </xdr:from>
        <xdr:to>
          <xdr:col>14</xdr:col>
          <xdr:colOff>1076325</xdr:colOff>
          <xdr:row>1</xdr:row>
          <xdr:rowOff>123825</xdr:rowOff>
        </xdr:to>
        <xdr:sp macro="" textlink="">
          <xdr:nvSpPr>
            <xdr:cNvPr id="1563666" name="Button 18" descr="ទំព័រដើម" hidden="1">
              <a:extLst>
                <a:ext uri="{63B3BB69-23CF-44E3-9099-C40C66FF867C}">
                  <a14:compatExt spid="_x0000_s1563666"/>
                </a:ext>
                <a:ext uri="{FF2B5EF4-FFF2-40B4-BE49-F238E27FC236}">
                  <a16:creationId xmlns:a16="http://schemas.microsoft.com/office/drawing/2014/main" id="{00000000-0008-0000-2900-000012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591608</xdr:colOff>
      <xdr:row>0</xdr:row>
      <xdr:rowOff>131232</xdr:rowOff>
    </xdr:from>
    <xdr:to>
      <xdr:col>13</xdr:col>
      <xdr:colOff>179916</xdr:colOff>
      <xdr:row>1</xdr:row>
      <xdr:rowOff>275165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5608108" y="131232"/>
          <a:ext cx="7155391" cy="5249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បញ្ជីអតិថិជន​</a:t>
          </a:r>
          <a:r>
            <a:rPr lang="km-KH" sz="2400" baseline="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 និងប្រាក់</a:t>
          </a:r>
          <a:r>
            <a:rPr lang="km-KH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មិនទាន់ទូទាត់សរុប</a:t>
          </a:r>
          <a:endParaRPr lang="en-US" sz="24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85725</xdr:rowOff>
        </xdr:from>
        <xdr:to>
          <xdr:col>3</xdr:col>
          <xdr:colOff>609600</xdr:colOff>
          <xdr:row>1</xdr:row>
          <xdr:rowOff>219075</xdr:rowOff>
        </xdr:to>
        <xdr:sp macro="" textlink="">
          <xdr:nvSpPr>
            <xdr:cNvPr id="875523" name="Button 3" descr="ទំព័រដើម" hidden="1">
              <a:extLst>
                <a:ext uri="{63B3BB69-23CF-44E3-9099-C40C66FF867C}">
                  <a14:compatExt spid="_x0000_s875523"/>
                </a:ext>
                <a:ext uri="{FF2B5EF4-FFF2-40B4-BE49-F238E27FC236}">
                  <a16:creationId xmlns:a16="http://schemas.microsoft.com/office/drawing/2014/main" id="{00000000-0008-0000-2A00-0000035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1</xdr:row>
          <xdr:rowOff>304800</xdr:rowOff>
        </xdr:from>
        <xdr:to>
          <xdr:col>16</xdr:col>
          <xdr:colOff>1276350</xdr:colOff>
          <xdr:row>3</xdr:row>
          <xdr:rowOff>161925</xdr:rowOff>
        </xdr:to>
        <xdr:sp macro="" textlink="">
          <xdr:nvSpPr>
            <xdr:cNvPr id="875525" name="Button 5" hidden="1">
              <a:extLst>
                <a:ext uri="{63B3BB69-23CF-44E3-9099-C40C66FF867C}">
                  <a14:compatExt spid="_x0000_s875525"/>
                </a:ext>
                <a:ext uri="{FF2B5EF4-FFF2-40B4-BE49-F238E27FC236}">
                  <a16:creationId xmlns:a16="http://schemas.microsoft.com/office/drawing/2014/main" id="{00000000-0008-0000-2A00-0000055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95250</xdr:rowOff>
        </xdr:from>
        <xdr:to>
          <xdr:col>3</xdr:col>
          <xdr:colOff>1181100</xdr:colOff>
          <xdr:row>1</xdr:row>
          <xdr:rowOff>209550</xdr:rowOff>
        </xdr:to>
        <xdr:sp macro="" textlink="">
          <xdr:nvSpPr>
            <xdr:cNvPr id="875526" name="Button 6" hidden="1">
              <a:extLst>
                <a:ext uri="{63B3BB69-23CF-44E3-9099-C40C66FF867C}">
                  <a14:compatExt spid="_x0000_s875526"/>
                </a:ext>
                <a:ext uri="{FF2B5EF4-FFF2-40B4-BE49-F238E27FC236}">
                  <a16:creationId xmlns:a16="http://schemas.microsoft.com/office/drawing/2014/main" id="{00000000-0008-0000-2A00-0000065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2A00-000002000000}"/>
                </a:ext>
              </a:extLst>
            </xdr:cNvPr>
            <xdr:cNvGrpSpPr/>
          </xdr:nvGrpSpPr>
          <xdr:grpSpPr>
            <a:xfrm>
              <a:off x="5737491" y="4016572"/>
              <a:ext cx="247384" cy="972883"/>
              <a:chOff x="5365750" y="2134741"/>
              <a:chExt cx="275046" cy="731358"/>
            </a:xfrm>
          </xdr:grpSpPr>
          <xdr:sp macro="" textlink="">
            <xdr:nvSpPr>
              <xdr:cNvPr id="3918849" name="Check Box 1" hidden="1">
                <a:extLst>
                  <a:ext uri="{63B3BB69-23CF-44E3-9099-C40C66FF867C}">
                    <a14:compatExt spid="_x0000_s3918849"/>
                  </a:ext>
                  <a:ext uri="{FF2B5EF4-FFF2-40B4-BE49-F238E27FC236}">
                    <a16:creationId xmlns:a16="http://schemas.microsoft.com/office/drawing/2014/main" id="{00000000-0008-0000-2B00-000001CC3B00}"/>
                  </a:ext>
                </a:extLst>
              </xdr:cNvPr>
              <xdr:cNvSpPr/>
            </xdr:nvSpPr>
            <xdr:spPr bwMode="auto">
              <a:xfrm>
                <a:off x="5368810" y="2134741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0" name="Check Box 2" hidden="1">
                <a:extLst>
                  <a:ext uri="{63B3BB69-23CF-44E3-9099-C40C66FF867C}">
                    <a14:compatExt spid="_x0000_s3918850"/>
                  </a:ext>
                  <a:ext uri="{FF2B5EF4-FFF2-40B4-BE49-F238E27FC236}">
                    <a16:creationId xmlns:a16="http://schemas.microsoft.com/office/drawing/2014/main" id="{00000000-0008-0000-2B00-000002CC3B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1" name="Check Box 3" hidden="1">
                <a:extLst>
                  <a:ext uri="{63B3BB69-23CF-44E3-9099-C40C66FF867C}">
                    <a14:compatExt spid="_x0000_s3918851"/>
                  </a:ext>
                  <a:ext uri="{FF2B5EF4-FFF2-40B4-BE49-F238E27FC236}">
                    <a16:creationId xmlns:a16="http://schemas.microsoft.com/office/drawing/2014/main" id="{00000000-0008-0000-2B00-000003CC3B00}"/>
                  </a:ext>
                </a:extLst>
              </xdr:cNvPr>
              <xdr:cNvSpPr/>
            </xdr:nvSpPr>
            <xdr:spPr bwMode="auto">
              <a:xfrm>
                <a:off x="5365750" y="2665017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78423</xdr:colOff>
      <xdr:row>2</xdr:row>
      <xdr:rowOff>47626</xdr:rowOff>
    </xdr:from>
    <xdr:to>
      <xdr:col>3</xdr:col>
      <xdr:colOff>61983</xdr:colOff>
      <xdr:row>4</xdr:row>
      <xdr:rowOff>273843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448" y="790576"/>
          <a:ext cx="1107510" cy="835817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SpPr/>
      </xdr:nvSpPr>
      <xdr:spPr>
        <a:xfrm>
          <a:off x="5779339" y="190975"/>
          <a:ext cx="205801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3918852" name="Button 4" hidden="1">
              <a:extLst>
                <a:ext uri="{63B3BB69-23CF-44E3-9099-C40C66FF867C}">
                  <a14:compatExt spid="_x0000_s3918852"/>
                </a:ext>
                <a:ext uri="{FF2B5EF4-FFF2-40B4-BE49-F238E27FC236}">
                  <a16:creationId xmlns:a16="http://schemas.microsoft.com/office/drawing/2014/main" id="{00000000-0008-0000-2B00-000004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3918853" name="Button 5" hidden="1">
              <a:extLst>
                <a:ext uri="{63B3BB69-23CF-44E3-9099-C40C66FF867C}">
                  <a14:compatExt spid="_x0000_s3918853"/>
                </a:ext>
                <a:ext uri="{FF2B5EF4-FFF2-40B4-BE49-F238E27FC236}">
                  <a16:creationId xmlns:a16="http://schemas.microsoft.com/office/drawing/2014/main" id="{00000000-0008-0000-2B00-000005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3918854" name="Button 6" hidden="1">
              <a:extLst>
                <a:ext uri="{63B3BB69-23CF-44E3-9099-C40C66FF867C}">
                  <a14:compatExt spid="_x0000_s3918854"/>
                </a:ext>
                <a:ext uri="{FF2B5EF4-FFF2-40B4-BE49-F238E27FC236}">
                  <a16:creationId xmlns:a16="http://schemas.microsoft.com/office/drawing/2014/main" id="{00000000-0008-0000-2B00-000006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3918855" name="Button 7" hidden="1">
              <a:extLst>
                <a:ext uri="{63B3BB69-23CF-44E3-9099-C40C66FF867C}">
                  <a14:compatExt spid="_x0000_s3918855"/>
                </a:ext>
                <a:ext uri="{FF2B5EF4-FFF2-40B4-BE49-F238E27FC236}">
                  <a16:creationId xmlns:a16="http://schemas.microsoft.com/office/drawing/2014/main" id="{00000000-0008-0000-2B00-000007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750094</xdr:colOff>
      <xdr:row>2</xdr:row>
      <xdr:rowOff>95251</xdr:rowOff>
    </xdr:from>
    <xdr:to>
      <xdr:col>10</xdr:col>
      <xdr:colOff>83345</xdr:colOff>
      <xdr:row>5</xdr:row>
      <xdr:rowOff>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GrpSpPr/>
      </xdr:nvGrpSpPr>
      <xdr:grpSpPr>
        <a:xfrm>
          <a:off x="3679032" y="833439"/>
          <a:ext cx="3857626" cy="964406"/>
          <a:chOff x="3786188" y="762000"/>
          <a:chExt cx="3869532" cy="964406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2A00-000009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RECEIVE PAYMENT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2A00-00000A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3918856" name="Button 8" hidden="1">
              <a:extLst>
                <a:ext uri="{63B3BB69-23CF-44E3-9099-C40C66FF867C}">
                  <a14:compatExt spid="_x0000_s3918856"/>
                </a:ext>
                <a:ext uri="{FF2B5EF4-FFF2-40B4-BE49-F238E27FC236}">
                  <a16:creationId xmlns:a16="http://schemas.microsoft.com/office/drawing/2014/main" id="{00000000-0008-0000-2B00-000008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3918857" name="Button 9" hidden="1">
              <a:extLst>
                <a:ext uri="{63B3BB69-23CF-44E3-9099-C40C66FF867C}">
                  <a14:compatExt spid="_x0000_s3918857"/>
                </a:ext>
                <a:ext uri="{FF2B5EF4-FFF2-40B4-BE49-F238E27FC236}">
                  <a16:creationId xmlns:a16="http://schemas.microsoft.com/office/drawing/2014/main" id="{00000000-0008-0000-2B00-000009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0</xdr:row>
          <xdr:rowOff>47625</xdr:rowOff>
        </xdr:from>
        <xdr:to>
          <xdr:col>13</xdr:col>
          <xdr:colOff>1009650</xdr:colOff>
          <xdr:row>0</xdr:row>
          <xdr:rowOff>514350</xdr:rowOff>
        </xdr:to>
        <xdr:sp macro="" textlink="">
          <xdr:nvSpPr>
            <xdr:cNvPr id="3918858" name="Button 10" descr="ទំព័រដើម" hidden="1">
              <a:extLst>
                <a:ext uri="{63B3BB69-23CF-44E3-9099-C40C66FF867C}">
                  <a14:compatExt spid="_x0000_s3918858"/>
                </a:ext>
                <a:ext uri="{FF2B5EF4-FFF2-40B4-BE49-F238E27FC236}">
                  <a16:creationId xmlns:a16="http://schemas.microsoft.com/office/drawing/2014/main" id="{00000000-0008-0000-2B00-00000A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2B00-000005000000}"/>
                </a:ext>
              </a:extLst>
            </xdr:cNvPr>
            <xdr:cNvGrpSpPr/>
          </xdr:nvGrpSpPr>
          <xdr:grpSpPr>
            <a:xfrm>
              <a:off x="5737491" y="3897510"/>
              <a:ext cx="247384" cy="972883"/>
              <a:chOff x="5365750" y="2134739"/>
              <a:chExt cx="275039" cy="731349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2C00-000001D40600}"/>
                  </a:ext>
                </a:extLst>
              </xdr:cNvPr>
              <xdr:cNvSpPr/>
            </xdr:nvSpPr>
            <xdr:spPr bwMode="auto">
              <a:xfrm>
                <a:off x="5368803" y="2134739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2C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2C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5</xdr:col>
      <xdr:colOff>642936</xdr:colOff>
      <xdr:row>3</xdr:row>
      <xdr:rowOff>221869</xdr:rowOff>
    </xdr:to>
    <xdr:sp macro="" textlink="$Y$3">
      <xdr:nvSpPr>
        <xdr:cNvPr id="6" name="Rectangl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142874" y="819150"/>
          <a:ext cx="3429000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3</xdr:row>
      <xdr:rowOff>234184</xdr:rowOff>
    </xdr:from>
    <xdr:to>
      <xdr:col>6</xdr:col>
      <xdr:colOff>154781</xdr:colOff>
      <xdr:row>4</xdr:row>
      <xdr:rowOff>278561</xdr:rowOff>
    </xdr:to>
    <xdr:sp macro="" textlink="$Y$4">
      <xdr:nvSpPr>
        <xdr:cNvPr id="7" name="Rectangle 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SpPr/>
      </xdr:nvSpPr>
      <xdr:spPr>
        <a:xfrm>
          <a:off x="119062" y="1281934"/>
          <a:ext cx="3810000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4</xdr:row>
      <xdr:rowOff>293500</xdr:rowOff>
    </xdr:from>
    <xdr:to>
      <xdr:col>6</xdr:col>
      <xdr:colOff>247650</xdr:colOff>
      <xdr:row>5</xdr:row>
      <xdr:rowOff>206909</xdr:rowOff>
    </xdr:to>
    <xdr:sp macro="" textlink="$Y$5">
      <xdr:nvSpPr>
        <xdr:cNvPr id="8" name="Rectangle 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119062" y="1650813"/>
          <a:ext cx="390286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2B00-00000D000000}"/>
            </a:ext>
          </a:extLst>
        </xdr:cNvPr>
        <xdr:cNvSpPr/>
      </xdr:nvSpPr>
      <xdr:spPr>
        <a:xfrm>
          <a:off x="5887289" y="190975"/>
          <a:ext cx="210034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447497" name="Button 9" hidden="1">
              <a:extLst>
                <a:ext uri="{63B3BB69-23CF-44E3-9099-C40C66FF867C}">
                  <a14:compatExt spid="_x0000_s447497"/>
                </a:ext>
                <a:ext uri="{FF2B5EF4-FFF2-40B4-BE49-F238E27FC236}">
                  <a16:creationId xmlns:a16="http://schemas.microsoft.com/office/drawing/2014/main" id="{00000000-0008-0000-2C00-000009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447501" name="Button 13" hidden="1">
              <a:extLst>
                <a:ext uri="{63B3BB69-23CF-44E3-9099-C40C66FF867C}">
                  <a14:compatExt spid="_x0000_s447501"/>
                </a:ext>
                <a:ext uri="{FF2B5EF4-FFF2-40B4-BE49-F238E27FC236}">
                  <a16:creationId xmlns:a16="http://schemas.microsoft.com/office/drawing/2014/main" id="{00000000-0008-0000-2C00-00000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6600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447504" name="Button 16" hidden="1">
              <a:extLst>
                <a:ext uri="{63B3BB69-23CF-44E3-9099-C40C66FF867C}">
                  <a14:compatExt spid="_x0000_s447504"/>
                </a:ext>
                <a:ext uri="{FF2B5EF4-FFF2-40B4-BE49-F238E27FC236}">
                  <a16:creationId xmlns:a16="http://schemas.microsoft.com/office/drawing/2014/main" id="{00000000-0008-0000-2C00-000010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447509" name="Button 21" hidden="1">
              <a:extLst>
                <a:ext uri="{63B3BB69-23CF-44E3-9099-C40C66FF867C}">
                  <a14:compatExt spid="_x0000_s447509"/>
                </a:ext>
                <a:ext uri="{FF2B5EF4-FFF2-40B4-BE49-F238E27FC236}">
                  <a16:creationId xmlns:a16="http://schemas.microsoft.com/office/drawing/2014/main" id="{00000000-0008-0000-2C00-000015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440532</xdr:colOff>
      <xdr:row>2</xdr:row>
      <xdr:rowOff>83345</xdr:rowOff>
    </xdr:from>
    <xdr:to>
      <xdr:col>13</xdr:col>
      <xdr:colOff>59533</xdr:colOff>
      <xdr:row>4</xdr:row>
      <xdr:rowOff>428626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2B00-00000C000000}"/>
            </a:ext>
          </a:extLst>
        </xdr:cNvPr>
        <xdr:cNvGrpSpPr/>
      </xdr:nvGrpSpPr>
      <xdr:grpSpPr>
        <a:xfrm>
          <a:off x="4214813" y="821533"/>
          <a:ext cx="3857626" cy="964406"/>
          <a:chOff x="3786188" y="762000"/>
          <a:chExt cx="3869532" cy="96440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2B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447516" name="Button 28" hidden="1">
              <a:extLst>
                <a:ext uri="{63B3BB69-23CF-44E3-9099-C40C66FF867C}">
                  <a14:compatExt spid="_x0000_s447516"/>
                </a:ext>
                <a:ext uri="{FF2B5EF4-FFF2-40B4-BE49-F238E27FC236}">
                  <a16:creationId xmlns:a16="http://schemas.microsoft.com/office/drawing/2014/main" id="{00000000-0008-0000-2C00-00001C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447517" name="Button 29" hidden="1">
              <a:extLst>
                <a:ext uri="{63B3BB69-23CF-44E3-9099-C40C66FF867C}">
                  <a14:compatExt spid="_x0000_s447517"/>
                </a:ext>
                <a:ext uri="{FF2B5EF4-FFF2-40B4-BE49-F238E27FC236}">
                  <a16:creationId xmlns:a16="http://schemas.microsoft.com/office/drawing/2014/main" id="{00000000-0008-0000-2C00-00001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0</xdr:row>
          <xdr:rowOff>47625</xdr:rowOff>
        </xdr:from>
        <xdr:to>
          <xdr:col>13</xdr:col>
          <xdr:colOff>1009650</xdr:colOff>
          <xdr:row>0</xdr:row>
          <xdr:rowOff>514350</xdr:rowOff>
        </xdr:to>
        <xdr:sp macro="" textlink="">
          <xdr:nvSpPr>
            <xdr:cNvPr id="447519" name="Button 31" descr="ទំព័រដើម" hidden="1">
              <a:extLst>
                <a:ext uri="{63B3BB69-23CF-44E3-9099-C40C66FF867C}">
                  <a14:compatExt spid="_x0000_s447519"/>
                </a:ext>
                <a:ext uri="{FF2B5EF4-FFF2-40B4-BE49-F238E27FC236}">
                  <a16:creationId xmlns:a16="http://schemas.microsoft.com/office/drawing/2014/main" id="{00000000-0008-0000-2C00-00001F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152400</xdr:rowOff>
        </xdr:from>
        <xdr:to>
          <xdr:col>12</xdr:col>
          <xdr:colOff>1219200</xdr:colOff>
          <xdr:row>7</xdr:row>
          <xdr:rowOff>104775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2D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 Today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57150</xdr:rowOff>
        </xdr:from>
        <xdr:to>
          <xdr:col>1</xdr:col>
          <xdr:colOff>1095375</xdr:colOff>
          <xdr:row>7</xdr:row>
          <xdr:rowOff>57150</xdr:rowOff>
        </xdr:to>
        <xdr:sp macro="" textlink="">
          <xdr:nvSpPr>
            <xdr:cNvPr id="371716" name="Button 4" descr="ទំព័រដើម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2D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4</xdr:row>
          <xdr:rowOff>0</xdr:rowOff>
        </xdr:from>
        <xdr:to>
          <xdr:col>10</xdr:col>
          <xdr:colOff>1095375</xdr:colOff>
          <xdr:row>5</xdr:row>
          <xdr:rowOff>76200</xdr:rowOff>
        </xdr:to>
        <xdr:sp macro="" textlink="">
          <xdr:nvSpPr>
            <xdr:cNvPr id="2078722" name="Button 2" hidden="1">
              <a:extLst>
                <a:ext uri="{63B3BB69-23CF-44E3-9099-C40C66FF867C}">
                  <a14:compatExt spid="_x0000_s2078722"/>
                </a:ext>
                <a:ext uri="{FF2B5EF4-FFF2-40B4-BE49-F238E27FC236}">
                  <a16:creationId xmlns:a16="http://schemas.microsoft.com/office/drawing/2014/main" id="{00000000-0008-0000-2E00-000002B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‹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133350</xdr:rowOff>
        </xdr:from>
        <xdr:to>
          <xdr:col>1</xdr:col>
          <xdr:colOff>904875</xdr:colOff>
          <xdr:row>2</xdr:row>
          <xdr:rowOff>438150</xdr:rowOff>
        </xdr:to>
        <xdr:sp macro="" textlink="">
          <xdr:nvSpPr>
            <xdr:cNvPr id="4428801" name="Button 1" descr="ទំព័រដើម" hidden="1">
              <a:extLst>
                <a:ext uri="{63B3BB69-23CF-44E3-9099-C40C66FF867C}">
                  <a14:compatExt spid="_x0000_s4428801"/>
                </a:ext>
                <a:ext uri="{FF2B5EF4-FFF2-40B4-BE49-F238E27FC236}">
                  <a16:creationId xmlns:a16="http://schemas.microsoft.com/office/drawing/2014/main" id="{00000000-0008-0000-2F00-00000194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95250</xdr:rowOff>
        </xdr:from>
        <xdr:to>
          <xdr:col>4</xdr:col>
          <xdr:colOff>361950</xdr:colOff>
          <xdr:row>2</xdr:row>
          <xdr:rowOff>400050</xdr:rowOff>
        </xdr:to>
        <xdr:sp macro="" textlink="">
          <xdr:nvSpPr>
            <xdr:cNvPr id="2079747" name="Button 3" descr="ទំព័រដើម" hidden="1">
              <a:extLst>
                <a:ext uri="{63B3BB69-23CF-44E3-9099-C40C66FF867C}">
                  <a14:compatExt spid="_x0000_s2079747"/>
                </a:ext>
                <a:ext uri="{FF2B5EF4-FFF2-40B4-BE49-F238E27FC236}">
                  <a16:creationId xmlns:a16="http://schemas.microsoft.com/office/drawing/2014/main" id="{00000000-0008-0000-3000-000003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</xdr:row>
          <xdr:rowOff>104775</xdr:rowOff>
        </xdr:from>
        <xdr:to>
          <xdr:col>4</xdr:col>
          <xdr:colOff>933450</xdr:colOff>
          <xdr:row>2</xdr:row>
          <xdr:rowOff>381000</xdr:rowOff>
        </xdr:to>
        <xdr:sp macro="" textlink="">
          <xdr:nvSpPr>
            <xdr:cNvPr id="2079749" name="Button 5" hidden="1">
              <a:extLst>
                <a:ext uri="{63B3BB69-23CF-44E3-9099-C40C66FF867C}">
                  <a14:compatExt spid="_x0000_s2079749"/>
                </a:ext>
                <a:ext uri="{FF2B5EF4-FFF2-40B4-BE49-F238E27FC236}">
                  <a16:creationId xmlns:a16="http://schemas.microsoft.com/office/drawing/2014/main" id="{00000000-0008-0000-3000-000005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99CC00"/>
                  </a:solidFill>
                  <a:latin typeface="Roboto Medium"/>
                  <a:ea typeface="Roboto Medium"/>
                  <a:cs typeface="Roboto Medium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</xdr:row>
          <xdr:rowOff>142875</xdr:rowOff>
        </xdr:from>
        <xdr:to>
          <xdr:col>10</xdr:col>
          <xdr:colOff>457200</xdr:colOff>
          <xdr:row>1</xdr:row>
          <xdr:rowOff>638175</xdr:rowOff>
        </xdr:to>
        <xdr:sp macro="" textlink="">
          <xdr:nvSpPr>
            <xdr:cNvPr id="2080770" name="Button 2" hidden="1">
              <a:extLst>
                <a:ext uri="{63B3BB69-23CF-44E3-9099-C40C66FF867C}">
                  <a14:compatExt spid="_x0000_s2080770"/>
                </a:ext>
                <a:ext uri="{FF2B5EF4-FFF2-40B4-BE49-F238E27FC236}">
                  <a16:creationId xmlns:a16="http://schemas.microsoft.com/office/drawing/2014/main" id="{00000000-0008-0000-3100-000002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‹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85725</xdr:rowOff>
        </xdr:from>
        <xdr:to>
          <xdr:col>3</xdr:col>
          <xdr:colOff>533400</xdr:colOff>
          <xdr:row>2</xdr:row>
          <xdr:rowOff>609600</xdr:rowOff>
        </xdr:to>
        <xdr:sp macro="" textlink="">
          <xdr:nvSpPr>
            <xdr:cNvPr id="2081801" name="Button 9" descr="ទំព័រដើម" hidden="1">
              <a:extLst>
                <a:ext uri="{63B3BB69-23CF-44E3-9099-C40C66FF867C}">
                  <a14:compatExt spid="_x0000_s2081801"/>
                </a:ext>
                <a:ext uri="{FF2B5EF4-FFF2-40B4-BE49-F238E27FC236}">
                  <a16:creationId xmlns:a16="http://schemas.microsoft.com/office/drawing/2014/main" id="{00000000-0008-0000-3200-000009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30</xdr:col>
      <xdr:colOff>0</xdr:colOff>
      <xdr:row>11</xdr:row>
      <xdr:rowOff>0</xdr:rowOff>
    </xdr:from>
    <xdr:to>
      <xdr:col>45</xdr:col>
      <xdr:colOff>9640</xdr:colOff>
      <xdr:row>12</xdr:row>
      <xdr:rowOff>9351</xdr:rowOff>
    </xdr:to>
    <xdr:pic>
      <xdr:nvPicPr>
        <xdr:cNvPr id="4" name="tin_number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4971" y="2969559"/>
          <a:ext cx="5724640" cy="323116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3</xdr:col>
          <xdr:colOff>542925</xdr:colOff>
          <xdr:row>4</xdr:row>
          <xdr:rowOff>114300</xdr:rowOff>
        </xdr:to>
        <xdr:sp macro="" textlink="">
          <xdr:nvSpPr>
            <xdr:cNvPr id="3589121" name="Button 1" descr="ទំព័រដើម" hidden="1">
              <a:extLst>
                <a:ext uri="{63B3BB69-23CF-44E3-9099-C40C66FF867C}">
                  <a14:compatExt spid="_x0000_s3589121"/>
                </a:ext>
                <a:ext uri="{FF2B5EF4-FFF2-40B4-BE49-F238E27FC236}">
                  <a16:creationId xmlns:a16="http://schemas.microsoft.com/office/drawing/2014/main" id="{00000000-0008-0000-3300-000001C4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819150</xdr:colOff>
      <xdr:row>2</xdr:row>
      <xdr:rowOff>95251</xdr:rowOff>
    </xdr:from>
    <xdr:to>
      <xdr:col>5</xdr:col>
      <xdr:colOff>847725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3200-000014000000}"/>
            </a:ext>
          </a:extLst>
        </xdr:cNvPr>
        <xdr:cNvSpPr/>
      </xdr:nvSpPr>
      <xdr:spPr>
        <a:xfrm>
          <a:off x="20002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 ឃ្លាំង</a:t>
          </a:r>
          <a:endParaRPr lang="en-US" sz="20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409575</xdr:rowOff>
        </xdr:from>
        <xdr:to>
          <xdr:col>3</xdr:col>
          <xdr:colOff>561975</xdr:colOff>
          <xdr:row>3</xdr:row>
          <xdr:rowOff>342900</xdr:rowOff>
        </xdr:to>
        <xdr:sp macro="" textlink="">
          <xdr:nvSpPr>
            <xdr:cNvPr id="3590145" name="Button 1" descr="ទំព័រដើម" hidden="1">
              <a:extLst>
                <a:ext uri="{63B3BB69-23CF-44E3-9099-C40C66FF867C}">
                  <a14:compatExt spid="_x0000_s3590145"/>
                </a:ext>
                <a:ext uri="{FF2B5EF4-FFF2-40B4-BE49-F238E27FC236}">
                  <a16:creationId xmlns:a16="http://schemas.microsoft.com/office/drawing/2014/main" id="{00000000-0008-0000-3400-000001C8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1104900</xdr:colOff>
      <xdr:row>2</xdr:row>
      <xdr:rowOff>352425</xdr:rowOff>
    </xdr:from>
    <xdr:to>
      <xdr:col>5</xdr:col>
      <xdr:colOff>219075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3300-000039000000}"/>
            </a:ext>
          </a:extLst>
        </xdr:cNvPr>
        <xdr:cNvSpPr/>
      </xdr:nvSpPr>
      <xdr:spPr>
        <a:xfrm>
          <a:off x="20669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161925</xdr:rowOff>
        </xdr:from>
        <xdr:to>
          <xdr:col>3</xdr:col>
          <xdr:colOff>485775</xdr:colOff>
          <xdr:row>2</xdr:row>
          <xdr:rowOff>428625</xdr:rowOff>
        </xdr:to>
        <xdr:sp macro="" textlink="">
          <xdr:nvSpPr>
            <xdr:cNvPr id="3586049" name="Button 1" descr="ទំព័រដើម" hidden="1">
              <a:extLst>
                <a:ext uri="{63B3BB69-23CF-44E3-9099-C40C66FF867C}">
                  <a14:compatExt spid="_x0000_s3586049"/>
                </a:ext>
                <a:ext uri="{FF2B5EF4-FFF2-40B4-BE49-F238E27FC236}">
                  <a16:creationId xmlns:a16="http://schemas.microsoft.com/office/drawing/2014/main" id="{00000000-0008-0000-3500-000001B8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266700</xdr:rowOff>
        </xdr:from>
        <xdr:to>
          <xdr:col>3</xdr:col>
          <xdr:colOff>485775</xdr:colOff>
          <xdr:row>3</xdr:row>
          <xdr:rowOff>361950</xdr:rowOff>
        </xdr:to>
        <xdr:sp macro="" textlink="">
          <xdr:nvSpPr>
            <xdr:cNvPr id="3575809" name="Button 1" descr="ទំព័រដើម" hidden="1">
              <a:extLst>
                <a:ext uri="{63B3BB69-23CF-44E3-9099-C40C66FF867C}">
                  <a14:compatExt spid="_x0000_s3575809"/>
                </a:ext>
                <a:ext uri="{FF2B5EF4-FFF2-40B4-BE49-F238E27FC236}">
                  <a16:creationId xmlns:a16="http://schemas.microsoft.com/office/drawing/2014/main" id="{00000000-0008-0000-3600-00000190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0</xdr:row>
          <xdr:rowOff>85725</xdr:rowOff>
        </xdr:from>
        <xdr:to>
          <xdr:col>8</xdr:col>
          <xdr:colOff>981075</xdr:colOff>
          <xdr:row>0</xdr:row>
          <xdr:rowOff>504825</xdr:rowOff>
        </xdr:to>
        <xdr:sp macro="" textlink="">
          <xdr:nvSpPr>
            <xdr:cNvPr id="3576835" name="Button 3" descr="ទំព័រដើម" hidden="1">
              <a:extLst>
                <a:ext uri="{63B3BB69-23CF-44E3-9099-C40C66FF867C}">
                  <a14:compatExt spid="_x0000_s3576835"/>
                </a:ext>
                <a:ext uri="{FF2B5EF4-FFF2-40B4-BE49-F238E27FC236}">
                  <a16:creationId xmlns:a16="http://schemas.microsoft.com/office/drawing/2014/main" id="{00000000-0008-0000-3700-00000394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1114161</xdr:colOff>
      <xdr:row>0</xdr:row>
      <xdr:rowOff>76200</xdr:rowOff>
    </xdr:from>
    <xdr:to>
      <xdr:col>10</xdr:col>
      <xdr:colOff>4762</xdr:colOff>
      <xdr:row>0</xdr:row>
      <xdr:rowOff>495300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pSpPr/>
      </xdr:nvGrpSpPr>
      <xdr:grpSpPr>
        <a:xfrm>
          <a:off x="9390328" y="76200"/>
          <a:ext cx="1822184" cy="419100"/>
          <a:chOff x="14721373" y="230664"/>
          <a:chExt cx="1121737" cy="37662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36" name="Button 4" hidden="1">
                <a:extLst>
                  <a:ext uri="{63B3BB69-23CF-44E3-9099-C40C66FF867C}">
                    <a14:compatExt spid="_x0000_s3576836"/>
                  </a:ext>
                  <a:ext uri="{FF2B5EF4-FFF2-40B4-BE49-F238E27FC236}">
                    <a16:creationId xmlns:a16="http://schemas.microsoft.com/office/drawing/2014/main" id="{00000000-0008-0000-3700-000004943600}"/>
                  </a:ext>
                </a:extLst>
              </xdr:cNvPr>
              <xdr:cNvSpPr/>
            </xdr:nvSpPr>
            <xdr:spPr bwMode="auto">
              <a:xfrm>
                <a:off x="14721373" y="230664"/>
                <a:ext cx="1121737" cy="3766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3" name="Freeform: Shape 2">
            <a:extLst>
              <a:ext uri="{FF2B5EF4-FFF2-40B4-BE49-F238E27FC236}">
                <a16:creationId xmlns:a16="http://schemas.microsoft.com/office/drawing/2014/main" id="{00000000-0008-0000-3600-0000030000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2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57150</xdr:rowOff>
        </xdr:from>
        <xdr:to>
          <xdr:col>3</xdr:col>
          <xdr:colOff>342900</xdr:colOff>
          <xdr:row>2</xdr:row>
          <xdr:rowOff>238125</xdr:rowOff>
        </xdr:to>
        <xdr:sp macro="" textlink="">
          <xdr:nvSpPr>
            <xdr:cNvPr id="3565569" name="Button 1" descr="ទំព័រដើម" hidden="1">
              <a:extLst>
                <a:ext uri="{63B3BB69-23CF-44E3-9099-C40C66FF867C}">
                  <a14:compatExt spid="_x0000_s3565569"/>
                </a:ext>
                <a:ext uri="{FF2B5EF4-FFF2-40B4-BE49-F238E27FC236}">
                  <a16:creationId xmlns:a16="http://schemas.microsoft.com/office/drawing/2014/main" id="{00000000-0008-0000-3800-00000168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283635</xdr:colOff>
      <xdr:row>0</xdr:row>
      <xdr:rowOff>86784</xdr:rowOff>
    </xdr:from>
    <xdr:to>
      <xdr:col>7</xdr:col>
      <xdr:colOff>169333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341968" y="86784"/>
          <a:ext cx="3081865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70C0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70C0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3</xdr:row>
          <xdr:rowOff>28575</xdr:rowOff>
        </xdr:from>
        <xdr:to>
          <xdr:col>7</xdr:col>
          <xdr:colOff>1562100</xdr:colOff>
          <xdr:row>4</xdr:row>
          <xdr:rowOff>114300</xdr:rowOff>
        </xdr:to>
        <xdr:sp macro="" textlink="">
          <xdr:nvSpPr>
            <xdr:cNvPr id="2354178" name="Button 2" descr="ទំព័រដើម" hidden="1">
              <a:extLst>
                <a:ext uri="{63B3BB69-23CF-44E3-9099-C40C66FF867C}">
                  <a14:compatExt spid="_x0000_s2354178"/>
                </a:ext>
                <a:ext uri="{FF2B5EF4-FFF2-40B4-BE49-F238E27FC236}">
                  <a16:creationId xmlns:a16="http://schemas.microsoft.com/office/drawing/2014/main" id="{00000000-0008-0000-3A00-000002E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523875</xdr:rowOff>
        </xdr:from>
        <xdr:to>
          <xdr:col>9</xdr:col>
          <xdr:colOff>1571625</xdr:colOff>
          <xdr:row>4</xdr:row>
          <xdr:rowOff>285750</xdr:rowOff>
        </xdr:to>
        <xdr:sp macro="" textlink="">
          <xdr:nvSpPr>
            <xdr:cNvPr id="2082819" name="Button 3" descr="ទំព័រដើម" hidden="1">
              <a:extLst>
                <a:ext uri="{63B3BB69-23CF-44E3-9099-C40C66FF867C}">
                  <a14:compatExt spid="_x0000_s2082819"/>
                </a:ext>
                <a:ext uri="{FF2B5EF4-FFF2-40B4-BE49-F238E27FC236}">
                  <a16:creationId xmlns:a16="http://schemas.microsoft.com/office/drawing/2014/main" id="{00000000-0008-0000-3B00-000003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3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3C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226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3C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3C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3C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3C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226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3D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3D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4487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3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3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3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3D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266700</xdr:rowOff>
        </xdr:from>
        <xdr:to>
          <xdr:col>11</xdr:col>
          <xdr:colOff>285750</xdr:colOff>
          <xdr:row>3</xdr:row>
          <xdr:rowOff>38100</xdr:rowOff>
        </xdr:to>
        <xdr:sp macro="" textlink="">
          <xdr:nvSpPr>
            <xdr:cNvPr id="2083843" name="Button 3" hidden="1">
              <a:extLst>
                <a:ext uri="{63B3BB69-23CF-44E3-9099-C40C66FF867C}">
                  <a14:compatExt spid="_x0000_s2083843"/>
                </a:ext>
                <a:ext uri="{FF2B5EF4-FFF2-40B4-BE49-F238E27FC236}">
                  <a16:creationId xmlns:a16="http://schemas.microsoft.com/office/drawing/2014/main" id="{00000000-0008-0000-3E00-000003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&gt; Go NBC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76200</xdr:rowOff>
        </xdr:from>
        <xdr:to>
          <xdr:col>11</xdr:col>
          <xdr:colOff>66675</xdr:colOff>
          <xdr:row>1</xdr:row>
          <xdr:rowOff>200025</xdr:rowOff>
        </xdr:to>
        <xdr:sp macro="" textlink="">
          <xdr:nvSpPr>
            <xdr:cNvPr id="2083844" name="Button 4" descr="ទំព័រដើម" hidden="1">
              <a:extLst>
                <a:ext uri="{63B3BB69-23CF-44E3-9099-C40C66FF867C}">
                  <a14:compatExt spid="_x0000_s2083844"/>
                </a:ext>
                <a:ext uri="{FF2B5EF4-FFF2-40B4-BE49-F238E27FC236}">
                  <a16:creationId xmlns:a16="http://schemas.microsoft.com/office/drawing/2014/main" id="{00000000-0008-0000-3E00-000004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114300</xdr:rowOff>
        </xdr:from>
        <xdr:to>
          <xdr:col>3</xdr:col>
          <xdr:colOff>123825</xdr:colOff>
          <xdr:row>3</xdr:row>
          <xdr:rowOff>542925</xdr:rowOff>
        </xdr:to>
        <xdr:sp macro="" textlink="">
          <xdr:nvSpPr>
            <xdr:cNvPr id="2072581" name="Button 5" descr="ទំព័រដើម" hidden="1">
              <a:extLst>
                <a:ext uri="{63B3BB69-23CF-44E3-9099-C40C66FF867C}">
                  <a14:compatExt spid="_x0000_s2072581"/>
                </a:ext>
                <a:ext uri="{FF2B5EF4-FFF2-40B4-BE49-F238E27FC236}">
                  <a16:creationId xmlns:a16="http://schemas.microsoft.com/office/drawing/2014/main" id="{00000000-0008-0000-3F00-000005A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148167</xdr:colOff>
      <xdr:row>3</xdr:row>
      <xdr:rowOff>74084</xdr:rowOff>
    </xdr:from>
    <xdr:to>
      <xdr:col>5</xdr:col>
      <xdr:colOff>1397000</xdr:colOff>
      <xdr:row>4</xdr:row>
      <xdr:rowOff>105833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1100667" y="74084"/>
          <a:ext cx="6318250" cy="5926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តារាងបញ្ជីទំនិញ និង ផលិតផល </a:t>
          </a:r>
          <a:endParaRPr lang="en-US" sz="18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3</xdr:row>
          <xdr:rowOff>66675</xdr:rowOff>
        </xdr:from>
        <xdr:to>
          <xdr:col>3</xdr:col>
          <xdr:colOff>857250</xdr:colOff>
          <xdr:row>4</xdr:row>
          <xdr:rowOff>9525</xdr:rowOff>
        </xdr:to>
        <xdr:sp macro="" textlink="">
          <xdr:nvSpPr>
            <xdr:cNvPr id="4425729" name="Button 1" descr="ទំព័រដើម" hidden="1">
              <a:extLst>
                <a:ext uri="{63B3BB69-23CF-44E3-9099-C40C66FF867C}">
                  <a14:compatExt spid="_x0000_s4425729"/>
                </a:ext>
                <a:ext uri="{FF2B5EF4-FFF2-40B4-BE49-F238E27FC236}">
                  <a16:creationId xmlns:a16="http://schemas.microsoft.com/office/drawing/2014/main" id="{00000000-0008-0000-4000-00000188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9525</xdr:rowOff>
        </xdr:from>
        <xdr:to>
          <xdr:col>3</xdr:col>
          <xdr:colOff>866775</xdr:colOff>
          <xdr:row>3</xdr:row>
          <xdr:rowOff>504825</xdr:rowOff>
        </xdr:to>
        <xdr:sp macro="" textlink="">
          <xdr:nvSpPr>
            <xdr:cNvPr id="4426753" name="Button 1" descr="ទំព័រដើម" hidden="1">
              <a:extLst>
                <a:ext uri="{63B3BB69-23CF-44E3-9099-C40C66FF867C}">
                  <a14:compatExt spid="_x0000_s4426753"/>
                </a:ext>
                <a:ext uri="{FF2B5EF4-FFF2-40B4-BE49-F238E27FC236}">
                  <a16:creationId xmlns:a16="http://schemas.microsoft.com/office/drawing/2014/main" id="{00000000-0008-0000-4100-0000018C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3</xdr:row>
          <xdr:rowOff>371475</xdr:rowOff>
        </xdr:from>
        <xdr:to>
          <xdr:col>13</xdr:col>
          <xdr:colOff>352425</xdr:colOff>
          <xdr:row>5</xdr:row>
          <xdr:rowOff>342900</xdr:rowOff>
        </xdr:to>
        <xdr:sp macro="" textlink="">
          <xdr:nvSpPr>
            <xdr:cNvPr id="4519938" name="Button 2" descr="ទំព័រដើម" hidden="1">
              <a:extLst>
                <a:ext uri="{63B3BB69-23CF-44E3-9099-C40C66FF867C}">
                  <a14:compatExt spid="_x0000_s4519938"/>
                </a:ext>
                <a:ext uri="{FF2B5EF4-FFF2-40B4-BE49-F238E27FC236}">
                  <a16:creationId xmlns:a16="http://schemas.microsoft.com/office/drawing/2014/main" id="{00000000-0008-0000-4200-00000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0066CC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0066CC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616480</xdr:colOff>
      <xdr:row>3</xdr:row>
      <xdr:rowOff>350044</xdr:rowOff>
    </xdr:from>
    <xdr:to>
      <xdr:col>14</xdr:col>
      <xdr:colOff>1166812</xdr:colOff>
      <xdr:row>5</xdr:row>
      <xdr:rowOff>313531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GrpSpPr/>
      </xdr:nvGrpSpPr>
      <xdr:grpSpPr>
        <a:xfrm>
          <a:off x="13903855" y="1123950"/>
          <a:ext cx="1824301" cy="463550"/>
          <a:chOff x="14721358" y="230662"/>
          <a:chExt cx="1121738" cy="376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41" name="Button 5" hidden="1">
                <a:extLst>
                  <a:ext uri="{63B3BB69-23CF-44E3-9099-C40C66FF867C}">
                    <a14:compatExt spid="_x0000_s4519941"/>
                  </a:ext>
                  <a:ext uri="{FF2B5EF4-FFF2-40B4-BE49-F238E27FC236}">
                    <a16:creationId xmlns:a16="http://schemas.microsoft.com/office/drawing/2014/main" id="{00000000-0008-0000-4200-000005F84400}"/>
                  </a:ext>
                </a:extLst>
              </xdr:cNvPr>
              <xdr:cNvSpPr/>
            </xdr:nvSpPr>
            <xdr:spPr bwMode="auto">
              <a:xfrm>
                <a:off x="14721358" y="230662"/>
                <a:ext cx="1121738" cy="376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Content"/>
                    <a:cs typeface="Content"/>
                  </a:rPr>
                  <a:t>        រក្សាទុក &amp; បិទ</a:t>
                </a:r>
              </a:p>
            </xdr:txBody>
          </xdr:sp>
        </mc:Choice>
        <mc:Fallback/>
      </mc:AlternateContent>
      <xdr:sp macro="" textlink="">
        <xdr:nvSpPr>
          <xdr:cNvPr id="5" name="Freeform: Shape 4">
            <a:extLst>
              <a:ext uri="{FF2B5EF4-FFF2-40B4-BE49-F238E27FC236}">
                <a16:creationId xmlns:a16="http://schemas.microsoft.com/office/drawing/2014/main" id="{00000000-0008-0000-4100-000005000000}"/>
              </a:ext>
            </a:extLst>
          </xdr:cNvPr>
          <xdr:cNvSpPr/>
        </xdr:nvSpPr>
        <xdr:spPr>
          <a:xfrm>
            <a:off x="14832121" y="308502"/>
            <a:ext cx="163815" cy="240859"/>
          </a:xfrm>
          <a:custGeom>
            <a:avLst/>
            <a:gdLst>
              <a:gd name="connsiteX0" fmla="*/ 235658 w 308168"/>
              <a:gd name="connsiteY0" fmla="*/ 132160 h 309892"/>
              <a:gd name="connsiteX1" fmla="*/ 72510 w 308168"/>
              <a:gd name="connsiteY1" fmla="*/ 132160 h 309892"/>
              <a:gd name="connsiteX2" fmla="*/ 72510 w 308168"/>
              <a:gd name="connsiteY2" fmla="*/ 27343 h 309892"/>
              <a:gd name="connsiteX3" fmla="*/ 235658 w 308168"/>
              <a:gd name="connsiteY3" fmla="*/ 27343 h 309892"/>
              <a:gd name="connsiteX4" fmla="*/ 235658 w 308168"/>
              <a:gd name="connsiteY4" fmla="*/ 132160 h 309892"/>
              <a:gd name="connsiteX5" fmla="*/ 154084 w 308168"/>
              <a:gd name="connsiteY5" fmla="*/ 250648 h 309892"/>
              <a:gd name="connsiteX6" fmla="*/ 108765 w 308168"/>
              <a:gd name="connsiteY6" fmla="*/ 205076 h 309892"/>
              <a:gd name="connsiteX7" fmla="*/ 154084 w 308168"/>
              <a:gd name="connsiteY7" fmla="*/ 159503 h 309892"/>
              <a:gd name="connsiteX8" fmla="*/ 199403 w 308168"/>
              <a:gd name="connsiteY8" fmla="*/ 205076 h 309892"/>
              <a:gd name="connsiteX9" fmla="*/ 154084 w 308168"/>
              <a:gd name="connsiteY9" fmla="*/ 250648 h 309892"/>
              <a:gd name="connsiteX10" fmla="*/ 290041 w 308168"/>
              <a:gd name="connsiteY10" fmla="*/ 0 h 309892"/>
              <a:gd name="connsiteX11" fmla="*/ 235658 w 308168"/>
              <a:gd name="connsiteY11" fmla="*/ 0 h 309892"/>
              <a:gd name="connsiteX12" fmla="*/ 72510 w 308168"/>
              <a:gd name="connsiteY12" fmla="*/ 0 h 309892"/>
              <a:gd name="connsiteX13" fmla="*/ 45319 w 308168"/>
              <a:gd name="connsiteY13" fmla="*/ 0 h 309892"/>
              <a:gd name="connsiteX14" fmla="*/ 0 w 308168"/>
              <a:gd name="connsiteY14" fmla="*/ 45572 h 309892"/>
              <a:gd name="connsiteX15" fmla="*/ 0 w 308168"/>
              <a:gd name="connsiteY15" fmla="*/ 291663 h 309892"/>
              <a:gd name="connsiteX16" fmla="*/ 18128 w 308168"/>
              <a:gd name="connsiteY16" fmla="*/ 309892 h 309892"/>
              <a:gd name="connsiteX17" fmla="*/ 290041 w 308168"/>
              <a:gd name="connsiteY17" fmla="*/ 309892 h 309892"/>
              <a:gd name="connsiteX18" fmla="*/ 308168 w 308168"/>
              <a:gd name="connsiteY18" fmla="*/ 291663 h 309892"/>
              <a:gd name="connsiteX19" fmla="*/ 308168 w 308168"/>
              <a:gd name="connsiteY19" fmla="*/ 18229 h 309892"/>
              <a:gd name="connsiteX20" fmla="*/ 290041 w 308168"/>
              <a:gd name="connsiteY20" fmla="*/ 0 h 3098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8168" h="309892">
                <a:moveTo>
                  <a:pt x="235658" y="132160"/>
                </a:moveTo>
                <a:lnTo>
                  <a:pt x="72510" y="132160"/>
                </a:lnTo>
                <a:lnTo>
                  <a:pt x="72510" y="27343"/>
                </a:lnTo>
                <a:lnTo>
                  <a:pt x="235658" y="27343"/>
                </a:lnTo>
                <a:lnTo>
                  <a:pt x="235658" y="132160"/>
                </a:lnTo>
                <a:close/>
                <a:moveTo>
                  <a:pt x="154084" y="250648"/>
                </a:moveTo>
                <a:cubicBezTo>
                  <a:pt x="129159" y="250648"/>
                  <a:pt x="108765" y="230141"/>
                  <a:pt x="108765" y="205076"/>
                </a:cubicBezTo>
                <a:cubicBezTo>
                  <a:pt x="108765" y="180011"/>
                  <a:pt x="129159" y="159503"/>
                  <a:pt x="154084" y="159503"/>
                </a:cubicBezTo>
                <a:cubicBezTo>
                  <a:pt x="179009" y="159503"/>
                  <a:pt x="199403" y="180011"/>
                  <a:pt x="199403" y="205076"/>
                </a:cubicBezTo>
                <a:cubicBezTo>
                  <a:pt x="199403" y="230141"/>
                  <a:pt x="179009" y="250648"/>
                  <a:pt x="154084" y="250648"/>
                </a:cubicBezTo>
                <a:close/>
                <a:moveTo>
                  <a:pt x="290041" y="0"/>
                </a:moveTo>
                <a:lnTo>
                  <a:pt x="235658" y="0"/>
                </a:lnTo>
                <a:lnTo>
                  <a:pt x="72510" y="0"/>
                </a:lnTo>
                <a:lnTo>
                  <a:pt x="45319" y="0"/>
                </a:lnTo>
                <a:lnTo>
                  <a:pt x="0" y="45572"/>
                </a:lnTo>
                <a:lnTo>
                  <a:pt x="0" y="291663"/>
                </a:lnTo>
                <a:cubicBezTo>
                  <a:pt x="0" y="301689"/>
                  <a:pt x="8157" y="309892"/>
                  <a:pt x="18128" y="309892"/>
                </a:cubicBezTo>
                <a:lnTo>
                  <a:pt x="290041" y="309892"/>
                </a:lnTo>
                <a:cubicBezTo>
                  <a:pt x="300011" y="309892"/>
                  <a:pt x="308168" y="301689"/>
                  <a:pt x="308168" y="291663"/>
                </a:cubicBezTo>
                <a:lnTo>
                  <a:pt x="308168" y="18229"/>
                </a:lnTo>
                <a:cubicBezTo>
                  <a:pt x="308168" y="8203"/>
                  <a:pt x="300011" y="0"/>
                  <a:pt x="290041" y="0"/>
                </a:cubicBezTo>
                <a:close/>
              </a:path>
            </a:pathLst>
          </a:custGeom>
          <a:solidFill>
            <a:schemeClr val="accent5"/>
          </a:solidFill>
          <a:ln w="446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 sz="1200"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1400175</xdr:colOff>
          <xdr:row>3</xdr:row>
          <xdr:rowOff>323850</xdr:rowOff>
        </xdr:from>
        <xdr:to>
          <xdr:col>16</xdr:col>
          <xdr:colOff>904875</xdr:colOff>
          <xdr:row>5</xdr:row>
          <xdr:rowOff>323850</xdr:rowOff>
        </xdr:to>
        <xdr:sp macro="" textlink="">
          <xdr:nvSpPr>
            <xdr:cNvPr id="4519951" name="Button 15" hidden="1">
              <a:extLst>
                <a:ext uri="{63B3BB69-23CF-44E3-9099-C40C66FF867C}">
                  <a14:compatExt spid="_x0000_s4519951"/>
                </a:ext>
                <a:ext uri="{FF2B5EF4-FFF2-40B4-BE49-F238E27FC236}">
                  <a16:creationId xmlns:a16="http://schemas.microsoft.com/office/drawing/2014/main" id="{00000000-0008-0000-4200-00000F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Product Unit Price History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kscm_report\config\database_kscm.xlsm" TargetMode="External"/><Relationship Id="rId1" Type="http://schemas.openxmlformats.org/officeDocument/2006/relationships/externalLinkPath" Target="config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</sheetData>
      <sheetData sheetId="12"/>
      <sheetData sheetId="13">
        <row r="8">
          <cell r="C8">
            <v>1</v>
          </cell>
          <cell r="F8">
            <v>1</v>
          </cell>
          <cell r="G8">
            <v>1</v>
          </cell>
          <cell r="J8">
            <v>1010</v>
          </cell>
          <cell r="K8">
            <v>794</v>
          </cell>
          <cell r="L8">
            <v>0</v>
          </cell>
          <cell r="M8">
            <v>0</v>
          </cell>
          <cell r="N8">
            <v>216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</sheetData>
      <sheetData sheetId="14">
        <row r="8">
          <cell r="C8">
            <v>1</v>
          </cell>
          <cell r="F8">
            <v>1</v>
          </cell>
          <cell r="G8">
            <v>1</v>
          </cell>
          <cell r="H8">
            <v>46184</v>
          </cell>
          <cell r="I8">
            <v>794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</v>
          </cell>
          <cell r="F9">
            <v>1</v>
          </cell>
          <cell r="G9">
            <v>1</v>
          </cell>
          <cell r="H9">
            <v>46185</v>
          </cell>
          <cell r="I9">
            <v>0</v>
          </cell>
          <cell r="J9">
            <v>0</v>
          </cell>
          <cell r="K9">
            <v>0</v>
          </cell>
          <cell r="L9">
            <v>216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</sheetData>
      <sheetData sheetId="15"/>
      <sheetData sheetId="16">
        <row r="8">
          <cell r="C8">
            <v>1</v>
          </cell>
          <cell r="I8">
            <v>794</v>
          </cell>
          <cell r="J8">
            <v>0</v>
          </cell>
          <cell r="N8">
            <v>216</v>
          </cell>
        </row>
      </sheetData>
      <sheetData sheetId="17">
        <row r="8">
          <cell r="C8">
            <v>1</v>
          </cell>
          <cell r="F8">
            <v>1</v>
          </cell>
          <cell r="I8">
            <v>46184</v>
          </cell>
          <cell r="J8">
            <v>794</v>
          </cell>
          <cell r="K8">
            <v>0</v>
          </cell>
        </row>
        <row r="9">
          <cell r="C9">
            <v>1</v>
          </cell>
          <cell r="F9">
            <v>1</v>
          </cell>
          <cell r="I9">
            <v>46185</v>
          </cell>
          <cell r="J9">
            <v>0</v>
          </cell>
          <cell r="K9">
            <v>0</v>
          </cell>
          <cell r="L9">
            <v>0</v>
          </cell>
          <cell r="M9">
            <v>216</v>
          </cell>
        </row>
      </sheetData>
      <sheetData sheetId="18"/>
      <sheetData sheetId="19"/>
      <sheetData sheetId="20"/>
      <sheetData sheetId="21"/>
      <sheetData sheetId="22"/>
      <sheetData sheetId="23">
        <row r="8">
          <cell r="AM8">
            <v>1</v>
          </cell>
        </row>
        <row r="9">
          <cell r="AM9">
            <v>1</v>
          </cell>
        </row>
      </sheetData>
      <sheetData sheetId="24"/>
      <sheetData sheetId="25"/>
      <sheetData sheetId="2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C1:E7" tableType="queryTable" totalsRowShown="0" headerRowDxfId="4" dataDxfId="3" headerRowCellStyle="20% - Accent5" dataCellStyle="20% - Accent5">
  <autoFilter ref="C1:E7" xr:uid="{78363533-BC96-4816-A1DF-C1286DF676CB}"/>
  <tableColumns count="3">
    <tableColumn id="1" xr3:uid="{3F61AD41-DD41-4AD2-8843-B48AFD0D4F15}" uniqueName="1" name="Column1" queryTableFieldId="1" dataDxfId="2" dataCellStyle="20% - Accent5"/>
    <tableColumn id="2" xr3:uid="{E8087DC9-43D1-4DF1-8A04-15BE8A3B787F}" uniqueName="2" name="Column2" queryTableFieldId="2" dataDxfId="1" dataCellStyle="20% - Accent5"/>
    <tableColumn id="3" xr3:uid="{319E4133-8891-4706-9EC8-447AA6C24CE2}" uniqueName="3" name="Column3" queryTableFieldId="3" dataDxfId="0" dataCellStyle="20% - Accent5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10" Type="http://schemas.openxmlformats.org/officeDocument/2006/relationships/ctrlProp" Target="../ctrlProps/ctrlProp82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0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4.xml"/><Relationship Id="rId13" Type="http://schemas.openxmlformats.org/officeDocument/2006/relationships/comments" Target="../comments2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13.xml"/><Relationship Id="rId12" Type="http://schemas.openxmlformats.org/officeDocument/2006/relationships/ctrlProp" Target="../ctrlProps/ctrlProp11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12.xml"/><Relationship Id="rId11" Type="http://schemas.openxmlformats.org/officeDocument/2006/relationships/ctrlProp" Target="../ctrlProps/ctrlProp117.xml"/><Relationship Id="rId5" Type="http://schemas.openxmlformats.org/officeDocument/2006/relationships/ctrlProp" Target="../ctrlProps/ctrlProp111.xml"/><Relationship Id="rId10" Type="http://schemas.openxmlformats.org/officeDocument/2006/relationships/ctrlProp" Target="../ctrlProps/ctrlProp116.xml"/><Relationship Id="rId4" Type="http://schemas.openxmlformats.org/officeDocument/2006/relationships/ctrlProp" Target="../ctrlProps/ctrlProp110.xml"/><Relationship Id="rId9" Type="http://schemas.openxmlformats.org/officeDocument/2006/relationships/ctrlProp" Target="../ctrlProps/ctrlProp1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9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20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5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2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29.xml"/><Relationship Id="rId5" Type="http://schemas.openxmlformats.org/officeDocument/2006/relationships/ctrlProp" Target="../ctrlProps/ctrlProp128.xml"/><Relationship Id="rId10" Type="http://schemas.openxmlformats.org/officeDocument/2006/relationships/ctrlProp" Target="../ctrlProps/ctrlProp133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8.xml"/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" Type="http://schemas.openxmlformats.org/officeDocument/2006/relationships/drawing" Target="../drawings/drawing33.xml"/><Relationship Id="rId16" Type="http://schemas.openxmlformats.org/officeDocument/2006/relationships/ctrlProp" Target="../ctrlProps/ctrlProp14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10" Type="http://schemas.openxmlformats.org/officeDocument/2006/relationships/ctrlProp" Target="../ctrlProps/ctrlProp140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9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1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5.xml"/><Relationship Id="rId4" Type="http://schemas.openxmlformats.org/officeDocument/2006/relationships/ctrlProp" Target="../ctrlProps/ctrlProp1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3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54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15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57.xml"/><Relationship Id="rId5" Type="http://schemas.openxmlformats.org/officeDocument/2006/relationships/ctrlProp" Target="../ctrlProps/ctrlProp156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63.xml"/><Relationship Id="rId5" Type="http://schemas.openxmlformats.org/officeDocument/2006/relationships/ctrlProp" Target="../ctrlProps/ctrlProp162.xml"/><Relationship Id="rId4" Type="http://schemas.openxmlformats.org/officeDocument/2006/relationships/ctrlProp" Target="../ctrlProps/ctrlProp16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13" Type="http://schemas.openxmlformats.org/officeDocument/2006/relationships/ctrlProp" Target="../ctrlProps/ctrlProp173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167.xml"/><Relationship Id="rId12" Type="http://schemas.openxmlformats.org/officeDocument/2006/relationships/ctrlProp" Target="../ctrlProps/ctrlProp1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66.xml"/><Relationship Id="rId11" Type="http://schemas.openxmlformats.org/officeDocument/2006/relationships/ctrlProp" Target="../ctrlProps/ctrlProp171.xml"/><Relationship Id="rId5" Type="http://schemas.openxmlformats.org/officeDocument/2006/relationships/ctrlProp" Target="../ctrlProps/ctrlProp165.xml"/><Relationship Id="rId10" Type="http://schemas.openxmlformats.org/officeDocument/2006/relationships/ctrlProp" Target="../ctrlProps/ctrlProp170.xml"/><Relationship Id="rId4" Type="http://schemas.openxmlformats.org/officeDocument/2006/relationships/ctrlProp" Target="../ctrlProps/ctrlProp164.xml"/><Relationship Id="rId9" Type="http://schemas.openxmlformats.org/officeDocument/2006/relationships/ctrlProp" Target="../ctrlProps/ctrlProp169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8.xml"/><Relationship Id="rId13" Type="http://schemas.openxmlformats.org/officeDocument/2006/relationships/ctrlProp" Target="../ctrlProps/ctrlProp183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177.xml"/><Relationship Id="rId12" Type="http://schemas.openxmlformats.org/officeDocument/2006/relationships/ctrlProp" Target="../ctrlProps/ctrlProp182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76.xml"/><Relationship Id="rId11" Type="http://schemas.openxmlformats.org/officeDocument/2006/relationships/ctrlProp" Target="../ctrlProps/ctrlProp181.xml"/><Relationship Id="rId5" Type="http://schemas.openxmlformats.org/officeDocument/2006/relationships/ctrlProp" Target="../ctrlProps/ctrlProp175.xml"/><Relationship Id="rId10" Type="http://schemas.openxmlformats.org/officeDocument/2006/relationships/ctrlProp" Target="../ctrlProps/ctrlProp180.xml"/><Relationship Id="rId4" Type="http://schemas.openxmlformats.org/officeDocument/2006/relationships/ctrlProp" Target="../ctrlProps/ctrlProp174.xml"/><Relationship Id="rId9" Type="http://schemas.openxmlformats.org/officeDocument/2006/relationships/ctrlProp" Target="../ctrlProps/ctrlProp17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185.xml"/><Relationship Id="rId4" Type="http://schemas.openxmlformats.org/officeDocument/2006/relationships/ctrlProp" Target="../ctrlProps/ctrlProp18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8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187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89.xml"/><Relationship Id="rId4" Type="http://schemas.openxmlformats.org/officeDocument/2006/relationships/ctrlProp" Target="../ctrlProps/ctrlProp18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9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91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2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3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4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5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97.xml"/><Relationship Id="rId4" Type="http://schemas.openxmlformats.org/officeDocument/2006/relationships/ctrlProp" Target="../ctrlProps/ctrlProp19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7" Type="http://schemas.openxmlformats.org/officeDocument/2006/relationships/ctrlProp" Target="../ctrlProps/ctrlProp198.xm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6" Type="http://schemas.openxmlformats.org/officeDocument/2006/relationships/vmlDrawing" Target="../drawings/vmlDrawing52.vml"/><Relationship Id="rId5" Type="http://schemas.openxmlformats.org/officeDocument/2006/relationships/drawing" Target="../drawings/drawing53.xml"/><Relationship Id="rId4" Type="http://schemas.openxmlformats.org/officeDocument/2006/relationships/printerSettings" Target="../printerSettings/printerSettings32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99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20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4.xml"/><Relationship Id="rId3" Type="http://schemas.openxmlformats.org/officeDocument/2006/relationships/drawing" Target="../drawings/drawing56.xml"/><Relationship Id="rId7" Type="http://schemas.openxmlformats.org/officeDocument/2006/relationships/ctrlProp" Target="../ctrlProps/ctrlProp203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02.xml"/><Relationship Id="rId5" Type="http://schemas.openxmlformats.org/officeDocument/2006/relationships/ctrlProp" Target="../ctrlProps/ctrlProp201.xml"/><Relationship Id="rId10" Type="http://schemas.openxmlformats.org/officeDocument/2006/relationships/ctrlProp" Target="../ctrlProps/ctrlProp206.xml"/><Relationship Id="rId4" Type="http://schemas.openxmlformats.org/officeDocument/2006/relationships/vmlDrawing" Target="../drawings/vmlDrawing55.vml"/><Relationship Id="rId9" Type="http://schemas.openxmlformats.org/officeDocument/2006/relationships/ctrlProp" Target="../ctrlProps/ctrlProp2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0.xml"/><Relationship Id="rId3" Type="http://schemas.openxmlformats.org/officeDocument/2006/relationships/drawing" Target="../drawings/drawing57.xml"/><Relationship Id="rId7" Type="http://schemas.openxmlformats.org/officeDocument/2006/relationships/ctrlProp" Target="../ctrlProps/ctrlProp209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10" Type="http://schemas.openxmlformats.org/officeDocument/2006/relationships/ctrlProp" Target="../ctrlProps/ctrlProp212.xml"/><Relationship Id="rId4" Type="http://schemas.openxmlformats.org/officeDocument/2006/relationships/vmlDrawing" Target="../drawings/vmlDrawing56.vml"/><Relationship Id="rId9" Type="http://schemas.openxmlformats.org/officeDocument/2006/relationships/ctrlProp" Target="../ctrlProps/ctrlProp21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8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14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3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21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1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9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1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7" Type="http://schemas.openxmlformats.org/officeDocument/2006/relationships/comments" Target="../comments9.x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95</v>
      </c>
      <c r="B1" t="s">
        <v>96</v>
      </c>
      <c r="C1" t="s">
        <v>97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M35"/>
  <sheetViews>
    <sheetView showGridLines="0" zoomScaleNormal="100" zoomScaleSheetLayoutView="120" workbookViewId="0">
      <pane ySplit="5" topLeftCell="A6" activePane="bottomLeft" state="frozen"/>
      <selection pane="bottomLeft" activeCell="F10" sqref="F10"/>
    </sheetView>
  </sheetViews>
  <sheetFormatPr defaultRowHeight="30" customHeight="1"/>
  <cols>
    <col min="1" max="1" width="1.7109375" customWidth="1"/>
    <col min="2" max="2" width="1" customWidth="1"/>
    <col min="3" max="3" width="28.5703125" customWidth="1"/>
    <col min="4" max="4" width="29.140625" customWidth="1"/>
    <col min="5" max="5" width="30" customWidth="1"/>
    <col min="6" max="6" width="32.42578125" customWidth="1"/>
    <col min="7" max="7" width="31.28515625" customWidth="1"/>
    <col min="8" max="8" width="32.7109375" customWidth="1"/>
    <col min="9" max="9" width="30" customWidth="1"/>
    <col min="10" max="10" width="33" customWidth="1"/>
    <col min="11" max="11" width="10.85546875" customWidth="1"/>
    <col min="12" max="12" width="21.5703125" bestFit="1" customWidth="1"/>
    <col min="14" max="14" width="22.5703125" customWidth="1"/>
  </cols>
  <sheetData>
    <row r="1" spans="3:13" ht="10.5" customHeight="1">
      <c r="C1" s="263"/>
      <c r="D1" s="263"/>
      <c r="E1" s="263"/>
      <c r="F1" s="263"/>
      <c r="G1" s="263"/>
      <c r="H1" s="263"/>
      <c r="I1" s="263"/>
      <c r="J1" s="263"/>
      <c r="K1" s="506"/>
      <c r="L1" s="263"/>
      <c r="M1" s="263"/>
    </row>
    <row r="2" spans="3:13" ht="48.75" customHeight="1">
      <c r="C2" s="1596" t="s">
        <v>303</v>
      </c>
      <c r="D2" s="1596"/>
      <c r="E2" s="1596"/>
      <c r="F2" s="1596"/>
      <c r="G2" s="1596"/>
      <c r="H2" s="1596"/>
      <c r="I2" s="1596"/>
    </row>
    <row r="3" spans="3:13" ht="9.75" customHeight="1">
      <c r="C3" s="261"/>
      <c r="D3" s="261"/>
      <c r="E3" s="261"/>
      <c r="F3" s="261"/>
      <c r="G3" s="261"/>
      <c r="H3" s="261"/>
      <c r="I3" s="261"/>
      <c r="J3" s="261"/>
      <c r="K3" s="507"/>
      <c r="L3" s="261"/>
      <c r="M3" s="261"/>
    </row>
    <row r="4" spans="3:13" s="265" customFormat="1" ht="31.5" customHeight="1">
      <c r="C4" s="680" t="s">
        <v>323</v>
      </c>
      <c r="D4" s="681" t="s">
        <v>297</v>
      </c>
      <c r="E4" s="681" t="s">
        <v>298</v>
      </c>
      <c r="F4" s="681" t="s">
        <v>294</v>
      </c>
      <c r="G4" s="681" t="s">
        <v>295</v>
      </c>
      <c r="H4" s="1007" t="s">
        <v>296</v>
      </c>
      <c r="I4" s="1597" t="s">
        <v>301</v>
      </c>
      <c r="J4" s="1598"/>
      <c r="K4" s="1009"/>
      <c r="L4" s="1009"/>
      <c r="M4" s="264"/>
    </row>
    <row r="5" spans="3:13" ht="21" customHeight="1">
      <c r="C5" s="495" t="s">
        <v>290</v>
      </c>
      <c r="D5" s="496" t="s">
        <v>300</v>
      </c>
      <c r="E5" s="496" t="s">
        <v>291</v>
      </c>
      <c r="F5" s="496" t="s">
        <v>292</v>
      </c>
      <c r="G5" s="496" t="s">
        <v>293</v>
      </c>
      <c r="H5" s="1008" t="s">
        <v>299</v>
      </c>
      <c r="I5" s="1599" t="s">
        <v>302</v>
      </c>
      <c r="J5" s="1600"/>
      <c r="K5" s="1010"/>
      <c r="L5" s="1010"/>
    </row>
    <row r="6" spans="3:13" ht="30" customHeight="1">
      <c r="C6" s="256"/>
      <c r="D6" s="256"/>
      <c r="E6" s="256"/>
      <c r="F6" s="255"/>
      <c r="G6" s="255"/>
      <c r="H6" s="6"/>
      <c r="I6" s="5"/>
      <c r="J6" s="210"/>
    </row>
    <row r="7" spans="3:13" ht="30" customHeight="1">
      <c r="C7" s="256"/>
      <c r="D7" s="256"/>
      <c r="E7" s="256"/>
      <c r="F7" s="255"/>
      <c r="G7" s="255"/>
      <c r="H7" s="6"/>
      <c r="I7" s="5"/>
      <c r="J7" s="210"/>
      <c r="K7" s="380"/>
    </row>
    <row r="8" spans="3:13" ht="30" customHeight="1">
      <c r="C8" s="256"/>
      <c r="D8" s="256"/>
      <c r="E8" s="256"/>
      <c r="F8" s="255"/>
      <c r="G8" s="255"/>
      <c r="H8" s="6"/>
      <c r="I8" s="5"/>
      <c r="J8" s="210"/>
      <c r="K8" s="380"/>
    </row>
    <row r="9" spans="3:13" ht="30" customHeight="1">
      <c r="C9" s="256"/>
      <c r="D9" s="256"/>
      <c r="E9" s="256"/>
      <c r="F9" s="255"/>
      <c r="H9" s="6"/>
      <c r="I9" s="5"/>
      <c r="J9" s="210"/>
      <c r="K9" s="380"/>
    </row>
    <row r="10" spans="3:13" ht="30" customHeight="1">
      <c r="C10" s="256"/>
      <c r="D10" s="256"/>
      <c r="E10" s="256"/>
      <c r="F10" s="255"/>
      <c r="G10" s="255"/>
      <c r="H10" s="6"/>
      <c r="I10" s="5"/>
      <c r="J10" s="210"/>
      <c r="K10" s="380"/>
      <c r="L10" s="380"/>
    </row>
    <row r="11" spans="3:13" ht="30" customHeight="1">
      <c r="C11" s="256"/>
      <c r="D11" s="256"/>
      <c r="E11" s="256"/>
      <c r="F11" s="255"/>
      <c r="G11" s="255"/>
      <c r="H11" s="6"/>
      <c r="I11" s="5"/>
      <c r="J11" s="210"/>
      <c r="K11" s="380"/>
    </row>
    <row r="12" spans="3:13" ht="30" customHeight="1">
      <c r="C12" s="377"/>
      <c r="D12" s="256"/>
      <c r="E12" s="256"/>
      <c r="F12" s="255"/>
      <c r="G12" s="255"/>
      <c r="H12" s="6"/>
      <c r="I12" s="5"/>
      <c r="J12" s="210"/>
      <c r="K12" s="380"/>
    </row>
    <row r="13" spans="3:13" ht="36" customHeight="1">
      <c r="C13" s="378"/>
      <c r="D13" s="266"/>
      <c r="E13" s="256"/>
      <c r="F13" s="255"/>
      <c r="G13" s="255"/>
      <c r="H13" s="6"/>
      <c r="I13" s="5"/>
      <c r="J13" s="133"/>
      <c r="K13" s="380"/>
    </row>
    <row r="14" spans="3:13" ht="30" customHeight="1">
      <c r="C14" s="256"/>
      <c r="D14" s="256"/>
      <c r="E14" s="256"/>
      <c r="F14" s="255"/>
      <c r="G14" s="255"/>
      <c r="H14" s="6"/>
      <c r="I14" s="5"/>
      <c r="J14" s="133"/>
      <c r="K14" s="380"/>
    </row>
    <row r="15" spans="3:13" ht="28.5" customHeight="1">
      <c r="C15" s="256"/>
      <c r="D15" s="256"/>
      <c r="E15" s="256"/>
      <c r="F15" s="255"/>
      <c r="G15" s="255"/>
      <c r="H15" s="6"/>
      <c r="I15" s="5"/>
      <c r="J15" s="133"/>
      <c r="K15" s="380"/>
    </row>
    <row r="16" spans="3:13" ht="30" customHeight="1">
      <c r="C16" s="256"/>
      <c r="D16" s="256"/>
      <c r="E16" s="256"/>
      <c r="F16" s="255"/>
      <c r="G16" s="255"/>
      <c r="H16" s="6"/>
      <c r="I16" s="5"/>
      <c r="J16" s="133"/>
      <c r="K16" s="380"/>
    </row>
    <row r="17" spans="3:11" ht="30" customHeight="1">
      <c r="C17" s="256"/>
      <c r="D17" s="256"/>
      <c r="E17" s="256"/>
      <c r="F17" s="983"/>
      <c r="G17" s="255"/>
      <c r="H17" s="6"/>
      <c r="I17" s="5"/>
      <c r="J17" s="133"/>
      <c r="K17" s="380"/>
    </row>
    <row r="18" spans="3:11" ht="30" customHeight="1">
      <c r="C18" s="256"/>
      <c r="D18" s="256"/>
      <c r="E18" s="256"/>
      <c r="F18" s="983"/>
      <c r="G18" s="255"/>
      <c r="H18" s="6"/>
      <c r="I18" s="5"/>
      <c r="J18" s="133"/>
      <c r="K18" s="380"/>
    </row>
    <row r="19" spans="3:11" ht="30" customHeight="1">
      <c r="C19" s="256"/>
      <c r="D19" s="256"/>
      <c r="E19" s="256"/>
      <c r="F19" s="255"/>
      <c r="G19" s="255"/>
      <c r="H19" s="6"/>
      <c r="I19" s="5"/>
      <c r="J19" s="210"/>
      <c r="K19" s="380"/>
    </row>
    <row r="20" spans="3:11" ht="30" customHeight="1">
      <c r="C20" s="256"/>
      <c r="D20" s="256"/>
      <c r="E20" s="256"/>
      <c r="F20" s="255"/>
      <c r="G20" s="255"/>
      <c r="H20" s="6"/>
      <c r="I20" s="5"/>
      <c r="J20" s="210"/>
      <c r="K20" s="380"/>
    </row>
    <row r="21" spans="3:11" ht="17.25" customHeight="1">
      <c r="C21" s="256"/>
      <c r="D21" s="256"/>
      <c r="E21" s="256"/>
      <c r="F21" s="255"/>
      <c r="G21" s="255"/>
      <c r="H21" s="6"/>
      <c r="J21" s="5"/>
      <c r="K21" s="380"/>
    </row>
    <row r="22" spans="3:11" ht="30" customHeight="1">
      <c r="C22" s="256"/>
      <c r="D22" s="256"/>
      <c r="E22" s="256"/>
      <c r="F22" s="255"/>
      <c r="G22" s="255"/>
      <c r="H22" s="6"/>
      <c r="I22" s="5"/>
      <c r="J22" s="210"/>
      <c r="K22" s="380"/>
    </row>
    <row r="23" spans="3:11" ht="30" customHeight="1">
      <c r="C23" s="256"/>
      <c r="D23" s="256"/>
      <c r="E23" s="256"/>
      <c r="F23" s="255"/>
      <c r="G23" s="255"/>
      <c r="H23" s="6"/>
      <c r="I23" s="5"/>
      <c r="J23" s="380"/>
    </row>
    <row r="24" spans="3:11" ht="30" customHeight="1">
      <c r="C24" s="256"/>
      <c r="D24" s="256"/>
      <c r="E24" s="256"/>
      <c r="F24" s="255"/>
      <c r="G24" s="255"/>
      <c r="H24" s="6"/>
      <c r="I24" s="5"/>
      <c r="J24" s="210"/>
      <c r="K24" s="380"/>
    </row>
    <row r="25" spans="3:11" ht="30" customHeight="1">
      <c r="C25" s="256"/>
      <c r="D25" s="256"/>
      <c r="E25" s="256"/>
      <c r="F25" s="255"/>
      <c r="G25" s="255"/>
      <c r="H25" s="6"/>
      <c r="I25" s="5"/>
      <c r="J25" s="210"/>
      <c r="K25" s="380"/>
    </row>
    <row r="26" spans="3:11" ht="30" customHeight="1">
      <c r="C26" s="256"/>
      <c r="D26" s="256"/>
      <c r="E26" s="256"/>
      <c r="F26" s="255"/>
      <c r="G26" s="255"/>
      <c r="H26" s="6"/>
      <c r="I26" s="5"/>
      <c r="J26" s="210"/>
      <c r="K26" s="380"/>
    </row>
    <row r="27" spans="3:11" ht="30" customHeight="1">
      <c r="C27" s="256"/>
      <c r="D27" s="256"/>
      <c r="E27" s="256"/>
      <c r="F27" s="255"/>
      <c r="G27" s="255"/>
      <c r="H27" s="6"/>
      <c r="I27" s="5"/>
      <c r="J27" s="210"/>
      <c r="K27" s="380"/>
    </row>
    <row r="28" spans="3:11" ht="30" customHeight="1">
      <c r="C28" s="256"/>
      <c r="D28" s="256"/>
      <c r="E28" s="256"/>
      <c r="F28" s="255"/>
      <c r="G28" s="255"/>
      <c r="H28" s="6"/>
      <c r="I28" s="5"/>
      <c r="J28" s="210"/>
      <c r="K28" s="380"/>
    </row>
    <row r="29" spans="3:11" ht="30" customHeight="1">
      <c r="C29" s="262"/>
      <c r="D29" s="262"/>
      <c r="E29" s="262"/>
      <c r="F29" s="255"/>
      <c r="G29" s="255"/>
      <c r="H29" s="6"/>
      <c r="I29" s="5"/>
      <c r="J29" s="210"/>
      <c r="K29" s="380"/>
    </row>
    <row r="30" spans="3:11" ht="30" customHeight="1">
      <c r="C30" s="256"/>
      <c r="D30" s="256"/>
      <c r="E30" s="256"/>
      <c r="F30" s="255"/>
      <c r="G30" s="255"/>
      <c r="H30" s="6"/>
      <c r="I30" s="5"/>
      <c r="J30" s="210"/>
      <c r="K30" s="380"/>
    </row>
    <row r="31" spans="3:11" ht="30" customHeight="1">
      <c r="C31" s="256"/>
      <c r="D31" s="256"/>
      <c r="E31" s="256"/>
      <c r="F31" s="255"/>
      <c r="G31" s="255"/>
      <c r="H31" s="6"/>
      <c r="I31" s="5"/>
      <c r="J31" s="210"/>
      <c r="K31" s="380"/>
    </row>
    <row r="32" spans="3:11" ht="30" customHeight="1">
      <c r="C32" s="256"/>
      <c r="D32" s="256"/>
      <c r="E32" s="256"/>
      <c r="F32" s="255"/>
      <c r="G32" s="255"/>
      <c r="H32" s="6"/>
      <c r="I32" s="5"/>
      <c r="J32" s="210"/>
      <c r="K32" s="380"/>
    </row>
    <row r="33" spans="3:11" ht="30" customHeight="1">
      <c r="C33" s="256"/>
      <c r="D33" s="256"/>
      <c r="E33" s="256"/>
      <c r="F33" s="255"/>
      <c r="G33" s="255"/>
      <c r="H33" s="6"/>
      <c r="I33" s="5"/>
      <c r="J33" s="210"/>
      <c r="K33" s="380"/>
    </row>
    <row r="34" spans="3:11" ht="30" customHeight="1">
      <c r="C34" s="256"/>
      <c r="D34" s="256"/>
      <c r="E34" s="256"/>
      <c r="F34" s="255"/>
      <c r="G34" s="255"/>
      <c r="H34" s="6"/>
      <c r="I34" s="5"/>
      <c r="J34" s="210"/>
      <c r="K34" s="380"/>
    </row>
    <row r="35" spans="3:11" ht="30" customHeight="1">
      <c r="C35" s="256"/>
      <c r="D35" s="256"/>
      <c r="E35" s="256"/>
      <c r="F35" s="255"/>
      <c r="G35" s="255"/>
      <c r="H35" s="6"/>
      <c r="I35" s="5"/>
      <c r="J35" s="210"/>
      <c r="K35" s="380"/>
    </row>
  </sheetData>
  <mergeCells count="3">
    <mergeCell ref="C2:I2"/>
    <mergeCell ref="I4:J4"/>
    <mergeCell ref="I5:J5"/>
  </mergeCells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866" r:id="rId4" name="Button 2">
              <controlPr defaultSize="0" print="0" autoFill="0" autoPict="0" macro="[0]!goToReportInv_ActivitySummary">
                <anchor moveWithCells="1" sizeWithCells="1">
                  <from>
                    <xdr:col>6</xdr:col>
                    <xdr:colOff>28575</xdr:colOff>
                    <xdr:row>5</xdr:row>
                    <xdr:rowOff>104775</xdr:rowOff>
                  </from>
                  <to>
                    <xdr:col>6</xdr:col>
                    <xdr:colOff>2047875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7" r:id="rId5" name="Button 3">
              <controlPr defaultSize="0" print="0" autoFill="0" autoPict="0" macro="[0]!goToCustomerList">
                <anchor moveWithCells="1" sizeWithCells="1">
                  <from>
                    <xdr:col>4</xdr:col>
                    <xdr:colOff>76200</xdr:colOff>
                    <xdr:row>5</xdr:row>
                    <xdr:rowOff>95250</xdr:rowOff>
                  </from>
                  <to>
                    <xdr:col>4</xdr:col>
                    <xdr:colOff>1914525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8" r:id="rId6" name="Button 4">
              <controlPr defaultSize="0" print="0" autoFill="0" autoPict="0" macro="[0]!goToSaleInvoiceData">
                <anchor moveWithCells="1" sizeWithCells="1">
                  <from>
                    <xdr:col>8</xdr:col>
                    <xdr:colOff>76200</xdr:colOff>
                    <xdr:row>17</xdr:row>
                    <xdr:rowOff>228600</xdr:rowOff>
                  </from>
                  <to>
                    <xdr:col>8</xdr:col>
                    <xdr:colOff>1952625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9" r:id="rId7" name="Button 5">
              <controlPr defaultSize="0" print="0" autoFill="0" autoPict="0" macro="[0]!goToSaleInvoiceDetialData">
                <anchor moveWithCells="1" sizeWithCells="1">
                  <from>
                    <xdr:col>8</xdr:col>
                    <xdr:colOff>66675</xdr:colOff>
                    <xdr:row>18</xdr:row>
                    <xdr:rowOff>266700</xdr:rowOff>
                  </from>
                  <to>
                    <xdr:col>8</xdr:col>
                    <xdr:colOff>1952625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2" r:id="rId8" name="Button 8">
              <controlPr defaultSize="0" print="0" autoFill="0" autoPict="0" macro="[0]!goToInvAdjData">
                <anchor moveWithCells="1" sizeWithCells="1">
                  <from>
                    <xdr:col>8</xdr:col>
                    <xdr:colOff>47625</xdr:colOff>
                    <xdr:row>7</xdr:row>
                    <xdr:rowOff>104775</xdr:rowOff>
                  </from>
                  <to>
                    <xdr:col>8</xdr:col>
                    <xdr:colOff>1924050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3" r:id="rId9" name="Button 9">
              <controlPr defaultSize="0" print="0" autoFill="0" autoPict="0" macro="[0]!goInventoryAdj">
                <anchor moveWithCells="1" sizeWithCells="1">
                  <from>
                    <xdr:col>2</xdr:col>
                    <xdr:colOff>95250</xdr:colOff>
                    <xdr:row>9</xdr:row>
                    <xdr:rowOff>209550</xdr:rowOff>
                  </from>
                  <to>
                    <xdr:col>2</xdr:col>
                    <xdr:colOff>1800225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4" r:id="rId10" name="Button 10">
              <controlPr defaultSize="0" print="0" autoFill="0" autoPict="0" macro="[0]!goChartAccountType">
                <anchor moveWithCells="1" sizeWithCells="1">
                  <from>
                    <xdr:col>7</xdr:col>
                    <xdr:colOff>104775</xdr:colOff>
                    <xdr:row>15</xdr:row>
                    <xdr:rowOff>133350</xdr:rowOff>
                  </from>
                  <to>
                    <xdr:col>7</xdr:col>
                    <xdr:colOff>2038350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5" r:id="rId11" name="Button 11">
              <controlPr defaultSize="0" print="0" autoFill="0" autoPict="0" macro="[0]!goToProductList">
                <anchor moveWithCells="1" sizeWithCells="1">
                  <from>
                    <xdr:col>2</xdr:col>
                    <xdr:colOff>95250</xdr:colOff>
                    <xdr:row>5</xdr:row>
                    <xdr:rowOff>104775</xdr:rowOff>
                  </from>
                  <to>
                    <xdr:col>2</xdr:col>
                    <xdr:colOff>1800225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7" r:id="rId12" name="Button 13">
              <controlPr defaultSize="0" print="0" autoFill="0" autoPict="0" macro="[0]!goToNBC_ExchangeRate">
                <anchor moveWithCells="1" sizeWithCells="1">
                  <from>
                    <xdr:col>7</xdr:col>
                    <xdr:colOff>114300</xdr:colOff>
                    <xdr:row>6</xdr:row>
                    <xdr:rowOff>142875</xdr:rowOff>
                  </from>
                  <to>
                    <xdr:col>7</xdr:col>
                    <xdr:colOff>2038350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79" r:id="rId13" name="Button 15">
              <controlPr defaultSize="0" print="0" autoFill="0" autoPict="0" macro="[0]!goToAddReceivePayment">
                <anchor moveWithCells="1" sizeWithCells="1">
                  <from>
                    <xdr:col>4</xdr:col>
                    <xdr:colOff>76200</xdr:colOff>
                    <xdr:row>10</xdr:row>
                    <xdr:rowOff>47625</xdr:rowOff>
                  </from>
                  <to>
                    <xdr:col>4</xdr:col>
                    <xdr:colOff>1914525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0" r:id="rId14" name="Button 16">
              <controlPr defaultSize="0" print="0" autoFill="0" autoPict="0" macro="[0]!goToOtherExpense">
                <anchor moveWithCells="1" sizeWithCells="1">
                  <from>
                    <xdr:col>3</xdr:col>
                    <xdr:colOff>38100</xdr:colOff>
                    <xdr:row>6</xdr:row>
                    <xdr:rowOff>133350</xdr:rowOff>
                  </from>
                  <to>
                    <xdr:col>3</xdr:col>
                    <xdr:colOff>1876425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2" r:id="rId15" name="Button 18">
              <controlPr defaultSize="0" print="0" autoFill="0" autoPict="0" macro="[0]!goToCountStock">
                <anchor moveWithCells="1" sizeWithCells="1">
                  <from>
                    <xdr:col>2</xdr:col>
                    <xdr:colOff>85725</xdr:colOff>
                    <xdr:row>10</xdr:row>
                    <xdr:rowOff>247650</xdr:rowOff>
                  </from>
                  <to>
                    <xdr:col>2</xdr:col>
                    <xdr:colOff>1800225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4" r:id="rId16" name="Button 20">
              <controlPr defaultSize="0" print="0" autoFill="0" autoPict="0" macro="[0]!goToSetting">
                <anchor moveWithCells="1" sizeWithCells="1">
                  <from>
                    <xdr:col>7</xdr:col>
                    <xdr:colOff>114300</xdr:colOff>
                    <xdr:row>5</xdr:row>
                    <xdr:rowOff>114300</xdr:rowOff>
                  </from>
                  <to>
                    <xdr:col>7</xdr:col>
                    <xdr:colOff>2038350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5" r:id="rId17" name="Button 21">
              <controlPr defaultSize="0" print="0" autoFill="0" autoPict="0" macro="[0]!goToVendorList">
                <anchor moveWithCells="1" sizeWithCells="1">
                  <from>
                    <xdr:col>3</xdr:col>
                    <xdr:colOff>38100</xdr:colOff>
                    <xdr:row>5</xdr:row>
                    <xdr:rowOff>104775</xdr:rowOff>
                  </from>
                  <to>
                    <xdr:col>3</xdr:col>
                    <xdr:colOff>1876425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6" r:id="rId18" name="Button 22">
              <controlPr defaultSize="0" print="0" autoFill="0" autoPict="0" macro="[0]!goToSeller">
                <anchor moveWithCells="1" sizeWithCells="1">
                  <from>
                    <xdr:col>7</xdr:col>
                    <xdr:colOff>114300</xdr:colOff>
                    <xdr:row>7</xdr:row>
                    <xdr:rowOff>152400</xdr:rowOff>
                  </from>
                  <to>
                    <xdr:col>7</xdr:col>
                    <xdr:colOff>2038350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7" r:id="rId19" name="Button 23">
              <controlPr defaultSize="0" print="0" autoFill="0" autoPict="0" macro="[0]!goToMemberList">
                <anchor moveWithCells="1" sizeWithCells="1">
                  <from>
                    <xdr:col>7</xdr:col>
                    <xdr:colOff>123825</xdr:colOff>
                    <xdr:row>9</xdr:row>
                    <xdr:rowOff>228600</xdr:rowOff>
                  </from>
                  <to>
                    <xdr:col>7</xdr:col>
                    <xdr:colOff>2038350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8" r:id="rId20" name="Button 24">
              <controlPr defaultSize="0" autoFill="0" autoPict="0" macro="[0]!goAddQuotation">
                <anchor moveWithCells="1" sizeWithCells="1">
                  <from>
                    <xdr:col>4</xdr:col>
                    <xdr:colOff>76200</xdr:colOff>
                    <xdr:row>7</xdr:row>
                    <xdr:rowOff>209550</xdr:rowOff>
                  </from>
                  <to>
                    <xdr:col>4</xdr:col>
                    <xdr:colOff>1914525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89" r:id="rId21" name="Button 25">
              <controlPr defaultSize="0" print="0" autoFill="0" autoPict="0" macro="[0]!goQuotationData">
                <anchor moveWithCells="1" sizeWithCells="1">
                  <from>
                    <xdr:col>8</xdr:col>
                    <xdr:colOff>57150</xdr:colOff>
                    <xdr:row>15</xdr:row>
                    <xdr:rowOff>133350</xdr:rowOff>
                  </from>
                  <to>
                    <xdr:col>8</xdr:col>
                    <xdr:colOff>1924050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0" r:id="rId22" name="Button 26">
              <controlPr defaultSize="0" print="0" autoFill="0" autoPict="0" macro="[0]!goQuoteDetailData">
                <anchor moveWithCells="1" sizeWithCells="1">
                  <from>
                    <xdr:col>8</xdr:col>
                    <xdr:colOff>47625</xdr:colOff>
                    <xdr:row>16</xdr:row>
                    <xdr:rowOff>180975</xdr:rowOff>
                  </from>
                  <to>
                    <xdr:col>8</xdr:col>
                    <xdr:colOff>1924050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1" r:id="rId23" name="Button 27">
              <controlPr defaultSize="0" print="0" autoFill="0" autoPict="0" macro="[0]!goToGroupMemberList">
                <anchor moveWithCells="1" sizeWithCells="1">
                  <from>
                    <xdr:col>7</xdr:col>
                    <xdr:colOff>123825</xdr:colOff>
                    <xdr:row>8</xdr:row>
                    <xdr:rowOff>190500</xdr:rowOff>
                  </from>
                  <to>
                    <xdr:col>7</xdr:col>
                    <xdr:colOff>2038350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5" r:id="rId24" name="Button 31">
              <controlPr defaultSize="0" print="0" autoFill="0" autoPict="0" macro="[0]!goToLastSheet">
                <anchor moveWithCells="1" sizeWithCells="1">
                  <from>
                    <xdr:col>2</xdr:col>
                    <xdr:colOff>1362075</xdr:colOff>
                    <xdr:row>1</xdr:row>
                    <xdr:rowOff>76200</xdr:rowOff>
                  </from>
                  <to>
                    <xdr:col>3</xdr:col>
                    <xdr:colOff>933450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97" r:id="rId25" name="Button 33">
              <controlPr defaultSize="0" print="0" autoFill="0" autoPict="0" macro="[0]!goToInvAdjDetailData">
                <anchor moveWithCells="1" sizeWithCells="1">
                  <from>
                    <xdr:col>8</xdr:col>
                    <xdr:colOff>47625</xdr:colOff>
                    <xdr:row>8</xdr:row>
                    <xdr:rowOff>142875</xdr:rowOff>
                  </from>
                  <to>
                    <xdr:col>8</xdr:col>
                    <xdr:colOff>1924050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1" r:id="rId26" name="Button 37">
              <controlPr defaultSize="0" autoFill="0" autoPict="0" macro="[0]!goAddInvoice">
                <anchor moveWithCells="1" sizeWithCells="1">
                  <from>
                    <xdr:col>4</xdr:col>
                    <xdr:colOff>85725</xdr:colOff>
                    <xdr:row>8</xdr:row>
                    <xdr:rowOff>276225</xdr:rowOff>
                  </from>
                  <to>
                    <xdr:col>4</xdr:col>
                    <xdr:colOff>1914525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3" r:id="rId27" name="Button 39">
              <controlPr defaultSize="0" print="0" autoFill="0" autoPict="0" macro="[0]!goInventory">
                <anchor moveWithCells="1" sizeWithCells="1">
                  <from>
                    <xdr:col>8</xdr:col>
                    <xdr:colOff>38100</xdr:colOff>
                    <xdr:row>9</xdr:row>
                    <xdr:rowOff>171450</xdr:rowOff>
                  </from>
                  <to>
                    <xdr:col>8</xdr:col>
                    <xdr:colOff>1924050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4" r:id="rId28" name="Button 40">
              <controlPr defaultSize="0" print="0" autoFill="0" autoPict="0" macro="[0]!goInventoryTotal">
                <anchor moveWithCells="1" sizeWithCells="1">
                  <from>
                    <xdr:col>8</xdr:col>
                    <xdr:colOff>47625</xdr:colOff>
                    <xdr:row>10</xdr:row>
                    <xdr:rowOff>190500</xdr:rowOff>
                  </from>
                  <to>
                    <xdr:col>8</xdr:col>
                    <xdr:colOff>1924050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5" r:id="rId29" name="Button 41">
              <controlPr defaultSize="0" print="0" autoFill="0" autoPict="0" macro="[0]!goInventoryTotalDetail">
                <anchor moveWithCells="1" sizeWithCells="1">
                  <from>
                    <xdr:col>8</xdr:col>
                    <xdr:colOff>47625</xdr:colOff>
                    <xdr:row>11</xdr:row>
                    <xdr:rowOff>228600</xdr:rowOff>
                  </from>
                  <to>
                    <xdr:col>8</xdr:col>
                    <xdr:colOff>1924050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6" r:id="rId30" name="Button 42">
              <controlPr defaultSize="0" print="0" autoFill="0" autoPict="0" macro="[0]!goAddPurchaseBill">
                <anchor moveWithCells="1" sizeWithCells="1">
                  <from>
                    <xdr:col>3</xdr:col>
                    <xdr:colOff>38100</xdr:colOff>
                    <xdr:row>7</xdr:row>
                    <xdr:rowOff>190500</xdr:rowOff>
                  </from>
                  <to>
                    <xdr:col>3</xdr:col>
                    <xdr:colOff>1876425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7" r:id="rId31" name="Button 43">
              <controlPr defaultSize="0" print="0" autoFill="0" autoPict="0" macro="[0]!goBranch">
                <anchor moveWithCells="1" sizeWithCells="1">
                  <from>
                    <xdr:col>7</xdr:col>
                    <xdr:colOff>123825</xdr:colOff>
                    <xdr:row>11</xdr:row>
                    <xdr:rowOff>323850</xdr:rowOff>
                  </from>
                  <to>
                    <xdr:col>7</xdr:col>
                    <xdr:colOff>2038350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8" r:id="rId32" name="Button 44">
              <controlPr defaultSize="0" print="0" autoFill="0" autoPict="0" macro="[0]!goModuleType">
                <anchor moveWithCells="1" sizeWithCells="1">
                  <from>
                    <xdr:col>7</xdr:col>
                    <xdr:colOff>123825</xdr:colOff>
                    <xdr:row>12</xdr:row>
                    <xdr:rowOff>400050</xdr:rowOff>
                  </from>
                  <to>
                    <xdr:col>7</xdr:col>
                    <xdr:colOff>2038350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09" r:id="rId33" name="Button 45">
              <controlPr defaultSize="0" print="0" autoFill="0" autoPict="0" macro="[0]!goLang">
                <anchor moveWithCells="1" sizeWithCells="1">
                  <from>
                    <xdr:col>7</xdr:col>
                    <xdr:colOff>123825</xdr:colOff>
                    <xdr:row>14</xdr:row>
                    <xdr:rowOff>9525</xdr:rowOff>
                  </from>
                  <to>
                    <xdr:col>7</xdr:col>
                    <xdr:colOff>2038350</xdr:colOff>
                    <xdr:row>14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0" r:id="rId34" name="Button 46">
              <controlPr defaultSize="0" print="0" autoFill="0" autoPict="0" macro="[0]!goUoM">
                <anchor moveWithCells="1" sizeWithCells="1">
                  <from>
                    <xdr:col>2</xdr:col>
                    <xdr:colOff>95250</xdr:colOff>
                    <xdr:row>6</xdr:row>
                    <xdr:rowOff>123825</xdr:rowOff>
                  </from>
                  <to>
                    <xdr:col>2</xdr:col>
                    <xdr:colOff>1800225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1" r:id="rId35" name="Button 47">
              <controlPr defaultSize="0" print="0" autoFill="0" autoPict="0" macro="[0]!goUomConversion">
                <anchor moveWithCells="1" sizeWithCells="1">
                  <from>
                    <xdr:col>2</xdr:col>
                    <xdr:colOff>95250</xdr:colOff>
                    <xdr:row>7</xdr:row>
                    <xdr:rowOff>133350</xdr:rowOff>
                  </from>
                  <to>
                    <xdr:col>2</xdr:col>
                    <xdr:colOff>1800225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2" r:id="rId36" name="Button 48">
              <controlPr defaultSize="0" print="0" autoFill="0" autoPict="0" macro="[0]!goLocation">
                <anchor moveWithCells="1" sizeWithCells="1">
                  <from>
                    <xdr:col>2</xdr:col>
                    <xdr:colOff>95250</xdr:colOff>
                    <xdr:row>8</xdr:row>
                    <xdr:rowOff>171450</xdr:rowOff>
                  </from>
                  <to>
                    <xdr:col>2</xdr:col>
                    <xdr:colOff>1800225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3" r:id="rId37" name="Button 49">
              <controlPr defaultSize="0" print="0" autoFill="0" autoPict="0" macro="[0]!goCurrency">
                <anchor moveWithCells="1" sizeWithCells="1">
                  <from>
                    <xdr:col>7</xdr:col>
                    <xdr:colOff>123825</xdr:colOff>
                    <xdr:row>10</xdr:row>
                    <xdr:rowOff>266700</xdr:rowOff>
                  </from>
                  <to>
                    <xdr:col>7</xdr:col>
                    <xdr:colOff>2038350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4" r:id="rId38" name="Button 50">
              <controlPr defaultSize="0" print="0" autoFill="0" autoPict="0" macro="[0]!ResetFilters">
                <anchor moveWithCells="1" sizeWithCells="1">
                  <from>
                    <xdr:col>2</xdr:col>
                    <xdr:colOff>133350</xdr:colOff>
                    <xdr:row>1</xdr:row>
                    <xdr:rowOff>76200</xdr:rowOff>
                  </from>
                  <to>
                    <xdr:col>2</xdr:col>
                    <xdr:colOff>1304925</xdr:colOff>
                    <xdr:row>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5" r:id="rId39" name="Button 51">
              <controlPr defaultSize="0" print="0" autoFill="0" autoPict="0" macro="[0]!goShipTo">
                <anchor moveWithCells="1" sizeWithCells="1">
                  <from>
                    <xdr:col>4</xdr:col>
                    <xdr:colOff>76200</xdr:colOff>
                    <xdr:row>6</xdr:row>
                    <xdr:rowOff>123825</xdr:rowOff>
                  </from>
                  <to>
                    <xdr:col>4</xdr:col>
                    <xdr:colOff>1914525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6" r:id="rId40" name="Button 52">
              <controlPr defaultSize="0" print="0" autoFill="0" autoPict="0" macro="[0]!goToOtherIncome">
                <anchor moveWithCells="1" sizeWithCells="1">
                  <from>
                    <xdr:col>4</xdr:col>
                    <xdr:colOff>76200</xdr:colOff>
                    <xdr:row>11</xdr:row>
                    <xdr:rowOff>200025</xdr:rowOff>
                  </from>
                  <to>
                    <xdr:col>4</xdr:col>
                    <xdr:colOff>1914525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7" r:id="rId41" name="Button 53">
              <controlPr defaultSize="0" print="0" autoFill="0" autoPict="0" macro="[0]!goProductPrice">
                <anchor moveWithCells="1" sizeWithCells="1">
                  <from>
                    <xdr:col>2</xdr:col>
                    <xdr:colOff>95250</xdr:colOff>
                    <xdr:row>11</xdr:row>
                    <xdr:rowOff>323850</xdr:rowOff>
                  </from>
                  <to>
                    <xdr:col>2</xdr:col>
                    <xdr:colOff>1800225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8" r:id="rId42" name="Button 54">
              <controlPr defaultSize="0" print="0" autoFill="0" autoPict="0" macro="[0]!OpenSystem">
                <anchor moveWithCells="1" sizeWithCells="1">
                  <from>
                    <xdr:col>8</xdr:col>
                    <xdr:colOff>552450</xdr:colOff>
                    <xdr:row>1</xdr:row>
                    <xdr:rowOff>114300</xdr:rowOff>
                  </from>
                  <to>
                    <xdr:col>8</xdr:col>
                    <xdr:colOff>1885950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19" r:id="rId43" name="Button 55">
              <controlPr defaultSize="0" print="0" autoFill="0" autoPict="0" macro="[0]!goCgroup">
                <anchor moveWithCells="1" sizeWithCells="1">
                  <from>
                    <xdr:col>4</xdr:col>
                    <xdr:colOff>76200</xdr:colOff>
                    <xdr:row>12</xdr:row>
                    <xdr:rowOff>352425</xdr:rowOff>
                  </from>
                  <to>
                    <xdr:col>4</xdr:col>
                    <xdr:colOff>1914525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0" r:id="rId44" name="Button 56">
              <controlPr defaultSize="0" print="0" autoFill="0" autoPict="0" macro="[0]!goChartAccountGroup">
                <anchor moveWithCells="1" sizeWithCells="1">
                  <from>
                    <xdr:col>7</xdr:col>
                    <xdr:colOff>104775</xdr:colOff>
                    <xdr:row>16</xdr:row>
                    <xdr:rowOff>200025</xdr:rowOff>
                  </from>
                  <to>
                    <xdr:col>7</xdr:col>
                    <xdr:colOff>2038350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1" r:id="rId45" name="Button 57">
              <controlPr defaultSize="0" print="0" autoFill="0" autoPict="0" macro="[0]!goChartAccount">
                <anchor moveWithCells="1" sizeWithCells="1">
                  <from>
                    <xdr:col>7</xdr:col>
                    <xdr:colOff>104775</xdr:colOff>
                    <xdr:row>17</xdr:row>
                    <xdr:rowOff>266700</xdr:rowOff>
                  </from>
                  <to>
                    <xdr:col>7</xdr:col>
                    <xdr:colOff>2038350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2" r:id="rId46" name="Button 58">
              <controlPr defaultSize="0" print="0" autoFill="0" autoPict="0" macro="[0]!goChartAccountDefault">
                <anchor moveWithCells="1" sizeWithCells="1">
                  <from>
                    <xdr:col>7</xdr:col>
                    <xdr:colOff>104775</xdr:colOff>
                    <xdr:row>18</xdr:row>
                    <xdr:rowOff>314325</xdr:rowOff>
                  </from>
                  <to>
                    <xdr:col>7</xdr:col>
                    <xdr:colOff>2038350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3" r:id="rId47" name="Button 59">
              <controlPr defaultSize="0" print="0" autoFill="0" autoPict="0" macro="[0]!goToReportFinancialDetial">
                <anchor moveWithCells="1" sizeWithCells="1">
                  <from>
                    <xdr:col>6</xdr:col>
                    <xdr:colOff>28575</xdr:colOff>
                    <xdr:row>6</xdr:row>
                    <xdr:rowOff>171450</xdr:rowOff>
                  </from>
                  <to>
                    <xdr:col>6</xdr:col>
                    <xdr:colOff>2047875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4" r:id="rId48" name="Button 60">
              <controlPr defaultSize="0" print="0" autoFill="0" autoPict="0" macro="[0]!goGeneralLedger">
                <anchor moveWithCells="1" sizeWithCells="1">
                  <from>
                    <xdr:col>9</xdr:col>
                    <xdr:colOff>95250</xdr:colOff>
                    <xdr:row>8</xdr:row>
                    <xdr:rowOff>161925</xdr:rowOff>
                  </from>
                  <to>
                    <xdr:col>9</xdr:col>
                    <xdr:colOff>2047875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5" r:id="rId49" name="Button 61">
              <controlPr defaultSize="0" print="0" autoFill="0" autoPict="0" macro="[0]!goGeneralLedgerDetail">
                <anchor moveWithCells="1" sizeWithCells="1">
                  <from>
                    <xdr:col>9</xdr:col>
                    <xdr:colOff>95250</xdr:colOff>
                    <xdr:row>9</xdr:row>
                    <xdr:rowOff>171450</xdr:rowOff>
                  </from>
                  <to>
                    <xdr:col>9</xdr:col>
                    <xdr:colOff>2047875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26" r:id="rId50" name="Button 62">
              <controlPr defaultSize="0" print="0" autoFill="0" autoPict="0" macro="[0]!goToReportFinancialDetial">
                <anchor moveWithCells="1" sizeWithCells="1">
                  <from>
                    <xdr:col>6</xdr:col>
                    <xdr:colOff>28575</xdr:colOff>
                    <xdr:row>7</xdr:row>
                    <xdr:rowOff>238125</xdr:rowOff>
                  </from>
                  <to>
                    <xdr:col>6</xdr:col>
                    <xdr:colOff>2047875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0" r:id="rId51" name="Button 66">
              <controlPr defaultSize="0" print="0" autoFill="0" autoPict="0" macro="[0]!goPurchaseBill">
                <anchor moveWithCells="1" sizeWithCells="1">
                  <from>
                    <xdr:col>8</xdr:col>
                    <xdr:colOff>47625</xdr:colOff>
                    <xdr:row>5</xdr:row>
                    <xdr:rowOff>76200</xdr:rowOff>
                  </from>
                  <to>
                    <xdr:col>8</xdr:col>
                    <xdr:colOff>1924050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1" r:id="rId52" name="Button 67">
              <controlPr defaultSize="0" print="0" autoFill="0" autoPict="0" macro="[0]!goPurchaseBillDetail">
                <anchor moveWithCells="1" sizeWithCells="1">
                  <from>
                    <xdr:col>8</xdr:col>
                    <xdr:colOff>47625</xdr:colOff>
                    <xdr:row>6</xdr:row>
                    <xdr:rowOff>85725</xdr:rowOff>
                  </from>
                  <to>
                    <xdr:col>8</xdr:col>
                    <xdr:colOff>1924050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2" r:id="rId53" name="Button 68">
              <controlPr defaultSize="0" print="0" autoFill="0" autoPict="0" macro="[0]!goReceivePayment">
                <anchor moveWithCells="1" sizeWithCells="1">
                  <from>
                    <xdr:col>9</xdr:col>
                    <xdr:colOff>95250</xdr:colOff>
                    <xdr:row>5</xdr:row>
                    <xdr:rowOff>114300</xdr:rowOff>
                  </from>
                  <to>
                    <xdr:col>9</xdr:col>
                    <xdr:colOff>2038350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3" r:id="rId54" name="Button 69">
              <controlPr defaultSize="0" print="0" autoFill="0" autoPict="0" macro="[0]!goReceivePaymentDetail">
                <anchor moveWithCells="1" sizeWithCells="1">
                  <from>
                    <xdr:col>9</xdr:col>
                    <xdr:colOff>114300</xdr:colOff>
                    <xdr:row>6</xdr:row>
                    <xdr:rowOff>161925</xdr:rowOff>
                  </from>
                  <to>
                    <xdr:col>9</xdr:col>
                    <xdr:colOff>2057400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4" r:id="rId55" name="Button 70">
              <controlPr defaultSize="0" print="0" autoFill="0" autoPict="0" macro="[0]!goSalesInvoiceReceipt">
                <anchor moveWithCells="1" sizeWithCells="1">
                  <from>
                    <xdr:col>9</xdr:col>
                    <xdr:colOff>95250</xdr:colOff>
                    <xdr:row>7</xdr:row>
                    <xdr:rowOff>142875</xdr:rowOff>
                  </from>
                  <to>
                    <xdr:col>9</xdr:col>
                    <xdr:colOff>2038350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5" r:id="rId56" name="Button 71">
              <controlPr defaultSize="0" print="0" autoFill="0" autoPict="0" macro="[0]!goInventoryValuation">
                <anchor moveWithCells="1" sizeWithCells="1">
                  <from>
                    <xdr:col>9</xdr:col>
                    <xdr:colOff>104775</xdr:colOff>
                    <xdr:row>10</xdr:row>
                    <xdr:rowOff>219075</xdr:rowOff>
                  </from>
                  <to>
                    <xdr:col>9</xdr:col>
                    <xdr:colOff>1990725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6" r:id="rId57" name="Button 72">
              <controlPr defaultSize="0" autoFill="0" autoPict="0" macro="[0]!goPrintInvoice">
                <anchor moveWithCells="1" sizeWithCells="1">
                  <from>
                    <xdr:col>4</xdr:col>
                    <xdr:colOff>85725</xdr:colOff>
                    <xdr:row>13</xdr:row>
                    <xdr:rowOff>342900</xdr:rowOff>
                  </from>
                  <to>
                    <xdr:col>4</xdr:col>
                    <xdr:colOff>1914525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7" r:id="rId58" name="Button 73">
              <controlPr defaultSize="0" print="0" autoFill="0" autoPict="0" macro="[0]!goProductCostHistory">
                <anchor moveWithCells="1" sizeWithCells="1">
                  <from>
                    <xdr:col>2</xdr:col>
                    <xdr:colOff>95250</xdr:colOff>
                    <xdr:row>12</xdr:row>
                    <xdr:rowOff>400050</xdr:rowOff>
                  </from>
                  <to>
                    <xdr:col>2</xdr:col>
                    <xdr:colOff>1800225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8" r:id="rId59" name="Button 74">
              <controlPr defaultSize="0" print="0" autoFill="0" autoPict="0" macro="[0]!goProductPriceHistory">
                <anchor moveWithCells="1" sizeWithCells="1">
                  <from>
                    <xdr:col>2</xdr:col>
                    <xdr:colOff>95250</xdr:colOff>
                    <xdr:row>14</xdr:row>
                    <xdr:rowOff>209550</xdr:rowOff>
                  </from>
                  <to>
                    <xdr:col>2</xdr:col>
                    <xdr:colOff>1800225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39" r:id="rId60" name="Button 75">
              <controlPr defaultSize="0" print="0" autoFill="0" autoPict="0" macro="[0]!goPaidToVendor">
                <anchor moveWithCells="1" sizeWithCells="1">
                  <from>
                    <xdr:col>3</xdr:col>
                    <xdr:colOff>38100</xdr:colOff>
                    <xdr:row>8</xdr:row>
                    <xdr:rowOff>219075</xdr:rowOff>
                  </from>
                  <to>
                    <xdr:col>3</xdr:col>
                    <xdr:colOff>1876425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46" r:id="rId61" name="Button 82">
              <controlPr defaultSize="0" print="0" autoFill="0" autoPict="0" macro="[0]!goGroupTotal">
                <anchor moveWithCells="1" sizeWithCells="1">
                  <from>
                    <xdr:col>8</xdr:col>
                    <xdr:colOff>57150</xdr:colOff>
                    <xdr:row>12</xdr:row>
                    <xdr:rowOff>276225</xdr:rowOff>
                  </from>
                  <to>
                    <xdr:col>8</xdr:col>
                    <xdr:colOff>1933575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47" r:id="rId62" name="Button 83">
              <controlPr defaultSize="0" print="0" autoFill="0" autoPict="0" macro="[0]!goGroupTotalDetail">
                <anchor moveWithCells="1" sizeWithCells="1">
                  <from>
                    <xdr:col>8</xdr:col>
                    <xdr:colOff>57150</xdr:colOff>
                    <xdr:row>13</xdr:row>
                    <xdr:rowOff>304800</xdr:rowOff>
                  </from>
                  <to>
                    <xdr:col>8</xdr:col>
                    <xdr:colOff>1933575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7:G8"/>
  <sheetViews>
    <sheetView workbookViewId="0">
      <pane ySplit="7" topLeftCell="A8" activePane="bottomLeft" state="frozen"/>
      <selection pane="bottomLeft" activeCell="G9" sqref="G9"/>
    </sheetView>
  </sheetViews>
  <sheetFormatPr defaultRowHeight="15"/>
  <cols>
    <col min="4" max="4" width="34.28515625" customWidth="1"/>
    <col min="5" max="5" width="28.42578125" customWidth="1"/>
    <col min="6" max="6" width="27.42578125" customWidth="1"/>
    <col min="7" max="7" width="55.28515625" bestFit="1" customWidth="1"/>
    <col min="8" max="8" width="21.85546875" customWidth="1"/>
  </cols>
  <sheetData>
    <row r="7" spans="3:7" ht="18.75" customHeight="1">
      <c r="C7" s="13" t="s">
        <v>10</v>
      </c>
      <c r="D7" s="13" t="s">
        <v>2703</v>
      </c>
      <c r="E7" s="13" t="s">
        <v>2704</v>
      </c>
      <c r="F7" s="13" t="s">
        <v>2705</v>
      </c>
      <c r="G7" s="13" t="s">
        <v>2709</v>
      </c>
    </row>
    <row r="8" spans="3:7" s="13" customFormat="1" ht="30" customHeight="1">
      <c r="C8" s="204">
        <v>1</v>
      </c>
      <c r="D8" s="204" t="s">
        <v>2706</v>
      </c>
      <c r="E8" s="204" t="s">
        <v>2707</v>
      </c>
      <c r="F8" s="204" t="s">
        <v>2708</v>
      </c>
      <c r="G8" s="204" t="str">
        <f>D8&amp;E8&amp;"\"&amp;F8&amp;"\"</f>
        <v>D:\1_Documents\1_Companies\kscm_report\config\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1137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85725</xdr:rowOff>
                  </from>
                  <to>
                    <xdr:col>3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I74"/>
  <sheetViews>
    <sheetView showGridLines="0" workbookViewId="0">
      <pane ySplit="7" topLeftCell="A8" activePane="bottomLeft" state="frozen"/>
      <selection pane="bottomLeft" activeCell="G29" sqref="G29"/>
    </sheetView>
  </sheetViews>
  <sheetFormatPr defaultRowHeight="15"/>
  <cols>
    <col min="1" max="1" width="1" style="13" customWidth="1"/>
    <col min="2" max="2" width="2.28515625" style="13" customWidth="1"/>
    <col min="3" max="3" width="8.28515625" style="13" customWidth="1"/>
    <col min="4" max="4" width="11.7109375" style="13" bestFit="1" customWidth="1"/>
    <col min="5" max="5" width="16.5703125" style="13" customWidth="1"/>
    <col min="6" max="6" width="10.140625" style="13" bestFit="1" customWidth="1"/>
    <col min="7" max="7" width="15.7109375" style="13" bestFit="1" customWidth="1"/>
    <col min="8" max="8" width="14" style="13" hidden="1" customWidth="1"/>
    <col min="9" max="9" width="17.85546875" style="13" bestFit="1" customWidth="1"/>
    <col min="10" max="10" width="24.140625" style="13" bestFit="1" customWidth="1"/>
    <col min="11" max="11" width="18.5703125" style="13" hidden="1" customWidth="1"/>
    <col min="12" max="12" width="16.85546875" style="13" hidden="1" customWidth="1"/>
    <col min="13" max="14" width="26" style="13" bestFit="1" customWidth="1"/>
    <col min="15" max="15" width="15.85546875" style="13" bestFit="1" customWidth="1"/>
    <col min="16" max="16" width="13.140625" style="13" customWidth="1"/>
    <col min="17" max="17" width="15" style="13" customWidth="1"/>
    <col min="18" max="18" width="11.85546875" style="13" customWidth="1"/>
    <col min="19" max="19" width="14.5703125" style="13" customWidth="1"/>
    <col min="20" max="20" width="13.28515625" style="13" customWidth="1"/>
    <col min="21" max="21" width="18.7109375" style="1078" customWidth="1"/>
    <col min="22" max="22" width="27.140625" style="1078" customWidth="1"/>
    <col min="23" max="23" width="13.7109375" style="1078" bestFit="1" customWidth="1"/>
    <col min="24" max="24" width="11.5703125" style="1078" bestFit="1" customWidth="1"/>
    <col min="25" max="25" width="14.42578125" style="1078" customWidth="1"/>
    <col min="26" max="26" width="18.85546875" style="1078" customWidth="1"/>
    <col min="27" max="27" width="14.7109375" style="1078" customWidth="1"/>
    <col min="28" max="28" width="15" style="1078" customWidth="1"/>
    <col min="29" max="29" width="18.5703125" style="13" customWidth="1"/>
    <col min="30" max="30" width="14.5703125" style="13" customWidth="1"/>
    <col min="31" max="31" width="14.42578125" style="13" bestFit="1" customWidth="1"/>
    <col min="32" max="32" width="9.42578125" style="13" bestFit="1" customWidth="1"/>
    <col min="33" max="33" width="10.7109375" style="13" bestFit="1" customWidth="1"/>
    <col min="34" max="34" width="14.85546875" style="13" bestFit="1" customWidth="1"/>
    <col min="35" max="35" width="8.7109375" style="13" bestFit="1" customWidth="1"/>
    <col min="36" max="16384" width="9.140625" style="13"/>
  </cols>
  <sheetData>
    <row r="1" spans="3:35" ht="29.25" customHeight="1">
      <c r="D1" s="1031"/>
      <c r="E1" s="1031"/>
      <c r="F1" s="1031"/>
      <c r="G1" s="1031"/>
      <c r="H1" s="1031"/>
      <c r="I1" s="1031"/>
      <c r="J1" s="1031"/>
      <c r="K1" s="1031"/>
      <c r="L1" s="1031"/>
      <c r="M1" s="1031"/>
      <c r="N1" s="1031"/>
      <c r="O1" s="1031"/>
      <c r="P1" s="1031"/>
      <c r="Q1" s="1031"/>
      <c r="R1" s="1031"/>
      <c r="S1" s="1031"/>
      <c r="T1" s="1031"/>
      <c r="U1" s="1077"/>
      <c r="V1" s="1077"/>
      <c r="W1" s="1077"/>
      <c r="X1" s="1077"/>
      <c r="Y1" s="1077"/>
      <c r="Z1" s="1077"/>
      <c r="AA1" s="1077"/>
      <c r="AB1" s="1077"/>
      <c r="AC1" s="1031"/>
      <c r="AD1" s="1031"/>
      <c r="AE1" s="1031"/>
      <c r="AF1" s="1031"/>
      <c r="AG1" s="1031"/>
      <c r="AH1" s="1031"/>
      <c r="AI1" s="1031"/>
    </row>
    <row r="5" spans="3:35" hidden="1"/>
    <row r="6" spans="3:35" hidden="1"/>
    <row r="7" spans="3:35" ht="29.25" customHeight="1">
      <c r="C7" s="1031" t="s">
        <v>2041</v>
      </c>
      <c r="D7" s="1031" t="s">
        <v>2207</v>
      </c>
      <c r="E7" s="1031" t="s">
        <v>2208</v>
      </c>
      <c r="F7" s="1031" t="s">
        <v>2182</v>
      </c>
      <c r="G7" s="1031" t="s">
        <v>2175</v>
      </c>
      <c r="H7" s="1031" t="s">
        <v>2177</v>
      </c>
      <c r="I7" s="1031" t="s">
        <v>2179</v>
      </c>
      <c r="J7" s="1031" t="s">
        <v>2309</v>
      </c>
      <c r="K7" s="1031" t="s">
        <v>2180</v>
      </c>
      <c r="L7" s="1031" t="s">
        <v>2310</v>
      </c>
      <c r="M7" s="1031" t="s">
        <v>2216</v>
      </c>
      <c r="N7" s="1031" t="s">
        <v>2560</v>
      </c>
      <c r="O7" s="1031" t="s">
        <v>340</v>
      </c>
      <c r="P7" s="1031" t="s">
        <v>2195</v>
      </c>
      <c r="Q7" s="1031" t="s">
        <v>2222</v>
      </c>
      <c r="R7" s="1031" t="s">
        <v>2223</v>
      </c>
      <c r="S7" s="1031" t="s">
        <v>2194</v>
      </c>
      <c r="T7" s="1031" t="s">
        <v>2211</v>
      </c>
      <c r="U7" s="1077" t="s">
        <v>2311</v>
      </c>
      <c r="V7" s="1077" t="s">
        <v>2312</v>
      </c>
      <c r="W7" s="1077" t="s">
        <v>2313</v>
      </c>
      <c r="X7" s="1077" t="s">
        <v>2314</v>
      </c>
      <c r="Y7" s="1077" t="s">
        <v>2315</v>
      </c>
      <c r="Z7" s="1077" t="s">
        <v>2316</v>
      </c>
      <c r="AA7" s="1077" t="s">
        <v>2317</v>
      </c>
      <c r="AB7" s="1077" t="s">
        <v>2318</v>
      </c>
      <c r="AC7" s="1031" t="s">
        <v>2198</v>
      </c>
      <c r="AD7" s="1031" t="s">
        <v>2319</v>
      </c>
      <c r="AE7" s="1031" t="s">
        <v>2320</v>
      </c>
      <c r="AF7" s="1031" t="s">
        <v>2321</v>
      </c>
      <c r="AG7" s="1031" t="s">
        <v>2322</v>
      </c>
      <c r="AH7" s="1031" t="s">
        <v>2323</v>
      </c>
      <c r="AI7" s="1031" t="s">
        <v>2204</v>
      </c>
    </row>
    <row r="8" spans="3:35" ht="21.75" customHeight="1">
      <c r="S8" s="412"/>
      <c r="AC8" s="1018"/>
    </row>
    <row r="9" spans="3:35">
      <c r="S9" s="412"/>
      <c r="AC9" s="1018"/>
    </row>
    <row r="10" spans="3:35">
      <c r="S10" s="412"/>
      <c r="AC10" s="1018"/>
    </row>
    <row r="11" spans="3:35">
      <c r="S11" s="412"/>
      <c r="AC11" s="1018"/>
    </row>
    <row r="12" spans="3:35">
      <c r="S12" s="412"/>
      <c r="AC12" s="1018"/>
    </row>
    <row r="13" spans="3:35">
      <c r="S13" s="412"/>
      <c r="AC13" s="1018"/>
    </row>
    <row r="14" spans="3:35">
      <c r="S14" s="412"/>
      <c r="AC14" s="1018"/>
    </row>
    <row r="15" spans="3:35">
      <c r="S15" s="412"/>
      <c r="AC15" s="1018"/>
    </row>
    <row r="16" spans="3:35">
      <c r="S16" s="412"/>
      <c r="AC16" s="1018"/>
    </row>
    <row r="17" spans="19:29">
      <c r="S17" s="412"/>
      <c r="AC17" s="1018"/>
    </row>
    <row r="18" spans="19:29">
      <c r="S18" s="412"/>
      <c r="AC18" s="1018"/>
    </row>
    <row r="19" spans="19:29">
      <c r="S19" s="412"/>
      <c r="AC19" s="1018"/>
    </row>
    <row r="20" spans="19:29">
      <c r="S20" s="412"/>
      <c r="AC20" s="1018"/>
    </row>
    <row r="21" spans="19:29">
      <c r="S21" s="412"/>
      <c r="AC21" s="1018"/>
    </row>
    <row r="22" spans="19:29">
      <c r="S22" s="412"/>
      <c r="AC22" s="1018"/>
    </row>
    <row r="23" spans="19:29">
      <c r="S23" s="412"/>
      <c r="AC23" s="1018"/>
    </row>
    <row r="24" spans="19:29">
      <c r="S24" s="412"/>
      <c r="AC24" s="1018"/>
    </row>
    <row r="25" spans="19:29">
      <c r="S25" s="412"/>
      <c r="AC25" s="1018"/>
    </row>
    <row r="26" spans="19:29">
      <c r="S26" s="412"/>
      <c r="AC26" s="1018"/>
    </row>
    <row r="27" spans="19:29">
      <c r="S27" s="412"/>
      <c r="AC27" s="1018"/>
    </row>
    <row r="28" spans="19:29">
      <c r="S28" s="412"/>
      <c r="AC28" s="1018"/>
    </row>
    <row r="29" spans="19:29">
      <c r="S29" s="412"/>
      <c r="AC29" s="1018"/>
    </row>
    <row r="30" spans="19:29">
      <c r="S30" s="412"/>
      <c r="AC30" s="1018"/>
    </row>
    <row r="31" spans="19:29">
      <c r="S31" s="412"/>
      <c r="AC31" s="1018"/>
    </row>
    <row r="32" spans="19:29">
      <c r="S32" s="412"/>
      <c r="AC32" s="1018"/>
    </row>
    <row r="33" spans="19:29">
      <c r="S33" s="412"/>
      <c r="AC33" s="1018"/>
    </row>
    <row r="34" spans="19:29">
      <c r="S34" s="412"/>
      <c r="AC34" s="1018"/>
    </row>
    <row r="35" spans="19:29">
      <c r="S35" s="412"/>
      <c r="AC35" s="1018"/>
    </row>
    <row r="36" spans="19:29">
      <c r="S36" s="412"/>
      <c r="AC36" s="1018"/>
    </row>
    <row r="37" spans="19:29">
      <c r="S37" s="412"/>
      <c r="AC37" s="1018"/>
    </row>
    <row r="38" spans="19:29">
      <c r="S38" s="412"/>
      <c r="AC38" s="1018"/>
    </row>
    <row r="39" spans="19:29">
      <c r="S39" s="412"/>
      <c r="AC39" s="1018"/>
    </row>
    <row r="40" spans="19:29">
      <c r="S40" s="412"/>
      <c r="AC40" s="1018"/>
    </row>
    <row r="41" spans="19:29">
      <c r="S41" s="412"/>
      <c r="AC41" s="1018"/>
    </row>
    <row r="42" spans="19:29">
      <c r="S42" s="412"/>
      <c r="AC42" s="1018"/>
    </row>
    <row r="43" spans="19:29">
      <c r="S43" s="412"/>
      <c r="AC43" s="1018"/>
    </row>
    <row r="44" spans="19:29">
      <c r="S44" s="412"/>
      <c r="AC44" s="1018"/>
    </row>
    <row r="45" spans="19:29">
      <c r="S45" s="412"/>
      <c r="AC45" s="1018"/>
    </row>
    <row r="46" spans="19:29">
      <c r="S46" s="412"/>
      <c r="AC46" s="1018"/>
    </row>
    <row r="47" spans="19:29">
      <c r="S47" s="412"/>
      <c r="AC47" s="1018"/>
    </row>
    <row r="48" spans="19:29">
      <c r="S48" s="412"/>
      <c r="AC48" s="1018"/>
    </row>
    <row r="49" spans="19:29">
      <c r="S49" s="412"/>
      <c r="AC49" s="1018"/>
    </row>
    <row r="50" spans="19:29">
      <c r="S50" s="412"/>
      <c r="AC50" s="1018"/>
    </row>
    <row r="51" spans="19:29">
      <c r="S51" s="412"/>
      <c r="AC51" s="1018"/>
    </row>
    <row r="52" spans="19:29">
      <c r="S52" s="412"/>
      <c r="AC52" s="1018"/>
    </row>
    <row r="53" spans="19:29">
      <c r="S53" s="412"/>
      <c r="AC53" s="1018"/>
    </row>
    <row r="54" spans="19:29">
      <c r="S54" s="412"/>
      <c r="AC54" s="1018"/>
    </row>
    <row r="55" spans="19:29">
      <c r="S55" s="412"/>
      <c r="AC55" s="1018"/>
    </row>
    <row r="56" spans="19:29">
      <c r="S56" s="412"/>
      <c r="AC56" s="1018"/>
    </row>
    <row r="57" spans="19:29">
      <c r="S57" s="412"/>
      <c r="AC57" s="1018"/>
    </row>
    <row r="58" spans="19:29">
      <c r="S58" s="412"/>
      <c r="AC58" s="1018"/>
    </row>
    <row r="59" spans="19:29">
      <c r="S59" s="412"/>
      <c r="AC59" s="1018"/>
    </row>
    <row r="60" spans="19:29">
      <c r="S60" s="412"/>
      <c r="AC60" s="1018"/>
    </row>
    <row r="61" spans="19:29">
      <c r="S61" s="412"/>
      <c r="AC61" s="1018"/>
    </row>
    <row r="62" spans="19:29">
      <c r="S62" s="412"/>
      <c r="AC62" s="1018"/>
    </row>
    <row r="63" spans="19:29">
      <c r="S63" s="412"/>
      <c r="AC63" s="1018"/>
    </row>
    <row r="64" spans="19:29">
      <c r="S64" s="412"/>
      <c r="AC64" s="1018"/>
    </row>
    <row r="65" spans="19:29">
      <c r="S65" s="412"/>
      <c r="AC65" s="1018"/>
    </row>
    <row r="66" spans="19:29">
      <c r="S66" s="412"/>
      <c r="AC66" s="1018"/>
    </row>
    <row r="67" spans="19:29">
      <c r="S67" s="412"/>
      <c r="AC67" s="1018"/>
    </row>
    <row r="68" spans="19:29">
      <c r="S68" s="412"/>
      <c r="AC68" s="1018"/>
    </row>
    <row r="69" spans="19:29">
      <c r="S69" s="412"/>
      <c r="AC69" s="1018"/>
    </row>
    <row r="70" spans="19:29">
      <c r="S70" s="412"/>
      <c r="AC70" s="1018"/>
    </row>
    <row r="71" spans="19:29">
      <c r="S71" s="412"/>
      <c r="AC71" s="1018"/>
    </row>
    <row r="72" spans="19:29">
      <c r="S72" s="412"/>
      <c r="AC72" s="1018"/>
    </row>
    <row r="73" spans="19:29">
      <c r="S73" s="412"/>
      <c r="AC73" s="1018"/>
    </row>
    <row r="74" spans="19:29">
      <c r="S74" s="412"/>
      <c r="AC74" s="101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691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0</xdr:row>
                    <xdr:rowOff>361950</xdr:rowOff>
                  </from>
                  <to>
                    <xdr:col>3</xdr:col>
                    <xdr:colOff>552450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4" r:id="rId5" name="Button 2">
              <controlPr defaultSize="0" print="0" autoFill="0" autoPict="0" macro="[0]!goInventoryAdj">
                <anchor moveWithCells="1" sizeWithCells="1">
                  <from>
                    <xdr:col>9</xdr:col>
                    <xdr:colOff>914400</xdr:colOff>
                    <xdr:row>1</xdr:row>
                    <xdr:rowOff>57150</xdr:rowOff>
                  </from>
                  <to>
                    <xdr:col>12</xdr:col>
                    <xdr:colOff>1009650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90" zoomScaleNormal="90" workbookViewId="0">
      <pane ySplit="7" topLeftCell="A8" activePane="bottomLeft" state="frozen"/>
      <selection pane="bottomLeft" activeCell="L13" sqref="L13"/>
    </sheetView>
  </sheetViews>
  <sheetFormatPr defaultRowHeight="20.100000000000001" customHeight="1"/>
  <cols>
    <col min="1" max="1" width="3" style="204" customWidth="1"/>
    <col min="2" max="2" width="3.28515625" style="204" customWidth="1"/>
    <col min="3" max="3" width="7.7109375" style="204" customWidth="1"/>
    <col min="4" max="4" width="17.7109375" style="204" customWidth="1"/>
    <col min="5" max="5" width="13.7109375" style="204" customWidth="1"/>
    <col min="6" max="6" width="17.5703125" style="204" bestFit="1" customWidth="1"/>
    <col min="7" max="7" width="17.85546875" style="204" customWidth="1"/>
    <col min="8" max="8" width="15.28515625" style="204" bestFit="1" customWidth="1"/>
    <col min="9" max="9" width="20.28515625" style="204" customWidth="1"/>
    <col min="10" max="10" width="12.42578125" style="204" customWidth="1"/>
    <col min="11" max="11" width="18.5703125" style="204" customWidth="1"/>
    <col min="12" max="12" width="21.42578125" style="204" customWidth="1"/>
    <col min="13" max="13" width="26.85546875" style="204" customWidth="1"/>
    <col min="14" max="14" width="14.85546875" style="204" customWidth="1"/>
    <col min="15" max="15" width="19.7109375" style="204" customWidth="1"/>
    <col min="16" max="16" width="19.28515625" style="204" customWidth="1"/>
    <col min="17" max="17" width="13.5703125" style="204" bestFit="1" customWidth="1"/>
    <col min="18" max="18" width="20.28515625" style="204" customWidth="1"/>
    <col min="19" max="19" width="14.28515625" style="204" customWidth="1"/>
    <col min="20" max="20" width="18.85546875" style="204" customWidth="1"/>
    <col min="21" max="21" width="12.7109375" style="204" customWidth="1"/>
    <col min="22" max="16384" width="9.140625" style="204"/>
  </cols>
  <sheetData>
    <row r="1" spans="3:21" customFormat="1" ht="15"/>
    <row r="2" spans="3:21" customFormat="1" ht="15"/>
    <row r="3" spans="3:21" customFormat="1" ht="15"/>
    <row r="4" spans="3:21" customFormat="1" ht="35.25">
      <c r="C4" s="1310" t="s">
        <v>2559</v>
      </c>
      <c r="D4" s="1310"/>
      <c r="E4" s="1310"/>
      <c r="F4" s="1310"/>
      <c r="G4" s="1310"/>
      <c r="H4" s="1310"/>
      <c r="I4" s="1310"/>
      <c r="J4" s="1310"/>
      <c r="K4" s="1310"/>
      <c r="L4" s="1310"/>
      <c r="M4" s="1310"/>
      <c r="N4" s="1310"/>
      <c r="O4" s="1310"/>
      <c r="P4" s="1310"/>
      <c r="Q4" s="1310"/>
      <c r="R4" s="1310"/>
      <c r="S4" s="1310"/>
      <c r="T4" s="1310"/>
      <c r="U4" s="1310"/>
    </row>
    <row r="5" spans="3:21" customFormat="1" ht="15"/>
    <row r="6" spans="3:21" customFormat="1" ht="25.5">
      <c r="C6" s="1307" t="s">
        <v>59</v>
      </c>
      <c r="D6" s="1307" t="s">
        <v>2468</v>
      </c>
      <c r="E6" s="1307" t="s">
        <v>258</v>
      </c>
      <c r="F6" s="1307" t="s">
        <v>2543</v>
      </c>
      <c r="G6" s="1307" t="s">
        <v>1075</v>
      </c>
      <c r="H6" s="1307" t="s">
        <v>866</v>
      </c>
      <c r="I6" s="1307" t="s">
        <v>2167</v>
      </c>
      <c r="J6" s="1307" t="s">
        <v>204</v>
      </c>
      <c r="K6" s="1307" t="s">
        <v>2547</v>
      </c>
      <c r="L6" s="1307" t="s">
        <v>2544</v>
      </c>
      <c r="M6" s="1307" t="s">
        <v>2545</v>
      </c>
      <c r="N6" s="1307" t="s">
        <v>2556</v>
      </c>
      <c r="O6" s="1307" t="s">
        <v>2550</v>
      </c>
      <c r="P6" s="1307" t="s">
        <v>2555</v>
      </c>
      <c r="Q6" s="1307" t="s">
        <v>2552</v>
      </c>
      <c r="R6" s="1307" t="s">
        <v>2464</v>
      </c>
      <c r="S6" s="1307" t="s">
        <v>839</v>
      </c>
      <c r="T6" s="1307" t="s">
        <v>2558</v>
      </c>
      <c r="U6" s="1307" t="s">
        <v>264</v>
      </c>
    </row>
    <row r="7" spans="3:21" customFormat="1" ht="20.25" customHeight="1">
      <c r="C7" s="1308" t="s">
        <v>328</v>
      </c>
      <c r="D7" s="1308" t="s">
        <v>2538</v>
      </c>
      <c r="E7" s="1308" t="s">
        <v>320</v>
      </c>
      <c r="F7" s="1308" t="s">
        <v>2539</v>
      </c>
      <c r="G7" s="1308" t="s">
        <v>14</v>
      </c>
      <c r="H7" s="1308" t="s">
        <v>863</v>
      </c>
      <c r="I7" s="1308" t="s">
        <v>2152</v>
      </c>
      <c r="J7" s="1308" t="s">
        <v>2540</v>
      </c>
      <c r="K7" s="1308" t="s">
        <v>2546</v>
      </c>
      <c r="L7" s="1308" t="s">
        <v>2548</v>
      </c>
      <c r="M7" s="1308" t="s">
        <v>2549</v>
      </c>
      <c r="N7" s="1308" t="s">
        <v>2557</v>
      </c>
      <c r="O7" s="1308" t="s">
        <v>2551</v>
      </c>
      <c r="P7" s="1308" t="s">
        <v>2554</v>
      </c>
      <c r="Q7" s="1308" t="s">
        <v>2553</v>
      </c>
      <c r="R7" s="1308" t="s">
        <v>2541</v>
      </c>
      <c r="S7" s="1308" t="s">
        <v>824</v>
      </c>
      <c r="T7" s="1308" t="s">
        <v>389</v>
      </c>
      <c r="U7" s="1308" t="s">
        <v>2542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54401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3</xdr:row>
                    <xdr:rowOff>9525</xdr:rowOff>
                  </from>
                  <to>
                    <xdr:col>3</xdr:col>
                    <xdr:colOff>904875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C7:Y7"/>
  <sheetViews>
    <sheetView workbookViewId="0">
      <pane ySplit="7" topLeftCell="A8" activePane="bottomLeft" state="frozen"/>
      <selection pane="bottomLeft" activeCell="D3" sqref="D3"/>
    </sheetView>
  </sheetViews>
  <sheetFormatPr defaultRowHeight="15"/>
  <cols>
    <col min="1" max="1" width="1.7109375" customWidth="1"/>
    <col min="2" max="2" width="3.28515625" customWidth="1"/>
    <col min="3" max="3" width="7" customWidth="1"/>
    <col min="4" max="4" width="19.85546875" customWidth="1"/>
    <col min="5" max="5" width="14.28515625" customWidth="1"/>
    <col min="6" max="7" width="21.42578125" customWidth="1"/>
    <col min="8" max="8" width="20" customWidth="1"/>
    <col min="9" max="9" width="19" customWidth="1"/>
    <col min="10" max="10" width="14.42578125" customWidth="1"/>
    <col min="11" max="11" width="17.85546875" customWidth="1"/>
    <col min="12" max="12" width="15.42578125" customWidth="1"/>
    <col min="13" max="13" width="20.140625" customWidth="1"/>
    <col min="14" max="14" width="17.7109375" customWidth="1"/>
    <col min="15" max="15" width="13.140625" bestFit="1" customWidth="1"/>
    <col min="16" max="16" width="19.140625" bestFit="1" customWidth="1"/>
    <col min="17" max="17" width="7.85546875" bestFit="1" customWidth="1"/>
    <col min="18" max="18" width="13.85546875" bestFit="1" customWidth="1"/>
    <col min="19" max="19" width="7.28515625" bestFit="1" customWidth="1"/>
    <col min="20" max="20" width="13.28515625" bestFit="1" customWidth="1"/>
    <col min="22" max="22" width="9.42578125" bestFit="1" customWidth="1"/>
    <col min="23" max="23" width="7.7109375" bestFit="1" customWidth="1"/>
    <col min="24" max="24" width="10.85546875" bestFit="1" customWidth="1"/>
    <col min="25" max="25" width="7.28515625" bestFit="1" customWidth="1"/>
  </cols>
  <sheetData>
    <row r="7" spans="3:25" s="13" customFormat="1" ht="25.5" customHeight="1">
      <c r="C7" s="13" t="s">
        <v>2041</v>
      </c>
      <c r="D7" s="13" t="s">
        <v>2175</v>
      </c>
      <c r="E7" s="13" t="s">
        <v>2208</v>
      </c>
      <c r="F7" s="13" t="s">
        <v>2230</v>
      </c>
      <c r="G7" s="13" t="s">
        <v>2231</v>
      </c>
      <c r="H7" s="13" t="s">
        <v>2206</v>
      </c>
      <c r="I7" s="13" t="s">
        <v>2232</v>
      </c>
      <c r="J7" s="13" t="s">
        <v>2233</v>
      </c>
      <c r="K7" s="13" t="s">
        <v>2234</v>
      </c>
      <c r="L7" s="13" t="s">
        <v>2235</v>
      </c>
      <c r="M7" s="13" t="s">
        <v>2236</v>
      </c>
      <c r="N7" s="13" t="s">
        <v>2237</v>
      </c>
      <c r="O7" s="13" t="s">
        <v>2238</v>
      </c>
      <c r="P7" s="13" t="s">
        <v>2239</v>
      </c>
      <c r="Q7" s="13" t="s">
        <v>2240</v>
      </c>
      <c r="R7" s="13" t="s">
        <v>2241</v>
      </c>
      <c r="S7" s="13" t="s">
        <v>2242</v>
      </c>
      <c r="T7" s="13" t="s">
        <v>2243</v>
      </c>
      <c r="U7" s="13" t="s">
        <v>2244</v>
      </c>
      <c r="V7" s="13" t="s">
        <v>2245</v>
      </c>
      <c r="W7" s="13" t="s">
        <v>2198</v>
      </c>
      <c r="X7" s="13" t="s">
        <v>2199</v>
      </c>
      <c r="Y7" s="13" t="s">
        <v>2246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1169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3</xdr:col>
                    <xdr:colOff>295275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C7:N7"/>
  <sheetViews>
    <sheetView workbookViewId="0">
      <pane ySplit="7" topLeftCell="A8" activePane="bottomLeft" state="frozen"/>
      <selection pane="bottomLeft" activeCell="H26" sqref="H26"/>
    </sheetView>
  </sheetViews>
  <sheetFormatPr defaultRowHeight="15"/>
  <cols>
    <col min="4" max="4" width="16.85546875" customWidth="1"/>
    <col min="5" max="5" width="13.85546875" customWidth="1"/>
    <col min="6" max="6" width="15.5703125" customWidth="1"/>
    <col min="7" max="7" width="15.7109375" customWidth="1"/>
    <col min="8" max="8" width="15" customWidth="1"/>
    <col min="9" max="9" width="18.140625" customWidth="1"/>
    <col min="10" max="10" width="14.85546875" customWidth="1"/>
    <col min="11" max="11" width="12.7109375" customWidth="1"/>
    <col min="12" max="12" width="14.7109375" customWidth="1"/>
    <col min="13" max="13" width="10.85546875" bestFit="1" customWidth="1"/>
    <col min="14" max="14" width="12.28515625" customWidth="1"/>
  </cols>
  <sheetData>
    <row r="7" spans="3:14" s="13" customFormat="1" ht="33" customHeight="1">
      <c r="C7" s="13" t="s">
        <v>2041</v>
      </c>
      <c r="D7" s="13" t="s">
        <v>2194</v>
      </c>
      <c r="E7" s="13" t="s">
        <v>2207</v>
      </c>
      <c r="F7" s="13" t="s">
        <v>2208</v>
      </c>
      <c r="G7" s="13" t="s">
        <v>2247</v>
      </c>
      <c r="H7" s="13" t="s">
        <v>2222</v>
      </c>
      <c r="I7" s="13" t="s">
        <v>2248</v>
      </c>
      <c r="J7" s="13" t="s">
        <v>2195</v>
      </c>
      <c r="K7" s="13" t="s">
        <v>2197</v>
      </c>
      <c r="L7" s="13" t="s">
        <v>2198</v>
      </c>
      <c r="M7" s="13" t="s">
        <v>2199</v>
      </c>
      <c r="N7" s="13" t="s">
        <v>2204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2193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C1:P22"/>
  <sheetViews>
    <sheetView workbookViewId="0">
      <pane ySplit="7" topLeftCell="A8" activePane="bottomLeft" state="frozen"/>
      <selection pane="bottomLeft" activeCell="G36" sqref="G36"/>
    </sheetView>
  </sheetViews>
  <sheetFormatPr defaultRowHeight="15"/>
  <cols>
    <col min="1" max="1" width="3.5703125" customWidth="1"/>
    <col min="2" max="2" width="4" customWidth="1"/>
    <col min="3" max="3" width="8.85546875" customWidth="1"/>
    <col min="4" max="4" width="22.5703125" customWidth="1"/>
    <col min="5" max="5" width="20.140625" customWidth="1"/>
    <col min="6" max="6" width="25.5703125" customWidth="1"/>
    <col min="7" max="7" width="25.85546875" customWidth="1"/>
    <col min="8" max="8" width="12.28515625" bestFit="1" customWidth="1"/>
    <col min="9" max="9" width="9.5703125" customWidth="1"/>
    <col min="10" max="10" width="15" customWidth="1"/>
    <col min="11" max="11" width="10.85546875" customWidth="1"/>
    <col min="12" max="12" width="16.5703125" bestFit="1" customWidth="1"/>
    <col min="13" max="13" width="14.5703125" bestFit="1" customWidth="1"/>
    <col min="14" max="14" width="11.85546875" customWidth="1"/>
    <col min="15" max="15" width="12" customWidth="1"/>
    <col min="16" max="16" width="9.7109375" customWidth="1"/>
  </cols>
  <sheetData>
    <row r="1" spans="3:16" hidden="1"/>
    <row r="2" spans="3:16" hidden="1"/>
    <row r="6" spans="3:16" ht="12" customHeight="1"/>
    <row r="7" spans="3:16" ht="24.75" customHeight="1">
      <c r="C7" s="13" t="s">
        <v>2041</v>
      </c>
      <c r="D7" s="13" t="s">
        <v>2183</v>
      </c>
      <c r="E7" s="13" t="s">
        <v>2175</v>
      </c>
      <c r="F7" s="13" t="s">
        <v>2176</v>
      </c>
      <c r="G7" s="13" t="s">
        <v>2249</v>
      </c>
      <c r="H7" s="13" t="s">
        <v>2250</v>
      </c>
      <c r="I7" s="13" t="s">
        <v>2251</v>
      </c>
      <c r="J7" s="13" t="s">
        <v>2252</v>
      </c>
      <c r="K7" s="13" t="s">
        <v>2253</v>
      </c>
      <c r="L7" s="13" t="s">
        <v>2236</v>
      </c>
      <c r="M7" s="13" t="s">
        <v>2237</v>
      </c>
      <c r="N7" s="13" t="s">
        <v>2240</v>
      </c>
      <c r="O7" s="13" t="s">
        <v>2245</v>
      </c>
      <c r="P7" s="13" t="s">
        <v>2246</v>
      </c>
    </row>
    <row r="9" spans="3:16">
      <c r="C9" s="13"/>
    </row>
    <row r="10" spans="3:16">
      <c r="C10" s="13"/>
    </row>
    <row r="11" spans="3:16">
      <c r="C11" s="13"/>
    </row>
    <row r="12" spans="3:16">
      <c r="C12" s="13"/>
    </row>
    <row r="13" spans="3:16">
      <c r="C13" s="13"/>
    </row>
    <row r="14" spans="3:16">
      <c r="C14" s="13"/>
    </row>
    <row r="15" spans="3:16">
      <c r="C15" s="13"/>
    </row>
    <row r="16" spans="3:16">
      <c r="C16" s="13"/>
    </row>
    <row r="17" spans="3:3">
      <c r="C17" s="13"/>
    </row>
    <row r="18" spans="3:3">
      <c r="C18" s="13"/>
    </row>
    <row r="19" spans="3:3">
      <c r="C19" s="13"/>
    </row>
    <row r="20" spans="3:3">
      <c r="C20" s="13"/>
    </row>
    <row r="21" spans="3:3">
      <c r="C21" s="13"/>
    </row>
    <row r="22" spans="3:3">
      <c r="C22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3217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0</xdr:col>
                    <xdr:colOff>600075</xdr:colOff>
                    <xdr:row>2</xdr:row>
                    <xdr:rowOff>57150</xdr:rowOff>
                  </from>
                  <to>
                    <xdr:col>3</xdr:col>
                    <xdr:colOff>200025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6:AN27"/>
  <sheetViews>
    <sheetView workbookViewId="0">
      <pane ySplit="7" topLeftCell="A8" activePane="bottomLeft" state="frozen"/>
      <selection pane="bottomLeft" activeCell="A8" sqref="A8:XFD17"/>
    </sheetView>
  </sheetViews>
  <sheetFormatPr defaultRowHeight="15"/>
  <cols>
    <col min="1" max="1" width="2.28515625" style="13" customWidth="1"/>
    <col min="2" max="2" width="4.140625" style="13" customWidth="1"/>
    <col min="3" max="3" width="6.28515625" style="13" customWidth="1"/>
    <col min="4" max="4" width="15.5703125" style="13" customWidth="1"/>
    <col min="5" max="5" width="23.28515625" style="13" customWidth="1"/>
    <col min="6" max="6" width="24.7109375" style="13" customWidth="1"/>
    <col min="7" max="7" width="26.140625" style="13" customWidth="1"/>
    <col min="8" max="8" width="17" style="13" hidden="1" customWidth="1"/>
    <col min="9" max="9" width="14.42578125" style="13" hidden="1" customWidth="1"/>
    <col min="10" max="10" width="22.28515625" style="13" hidden="1" customWidth="1"/>
    <col min="11" max="11" width="18.7109375" style="13" customWidth="1"/>
    <col min="12" max="12" width="27.28515625" style="13" hidden="1" customWidth="1"/>
    <col min="13" max="13" width="22.140625" style="13" customWidth="1"/>
    <col min="14" max="14" width="14.140625" style="13" customWidth="1"/>
    <col min="15" max="15" width="12.5703125" style="13" hidden="1" customWidth="1"/>
    <col min="16" max="16" width="19.28515625" style="13" hidden="1" customWidth="1"/>
    <col min="17" max="17" width="27.140625" style="13" hidden="1" customWidth="1"/>
    <col min="18" max="18" width="13.7109375" style="13" customWidth="1"/>
    <col min="19" max="19" width="16" style="13" hidden="1" customWidth="1"/>
    <col min="20" max="20" width="23.85546875" style="13" hidden="1" customWidth="1"/>
    <col min="21" max="21" width="17.85546875" style="13" customWidth="1"/>
    <col min="22" max="22" width="17" style="13" customWidth="1"/>
    <col min="23" max="23" width="16.28515625" style="13" customWidth="1"/>
    <col min="24" max="24" width="20" style="13" customWidth="1"/>
    <col min="25" max="25" width="10.7109375" style="412" bestFit="1" customWidth="1"/>
    <col min="26" max="26" width="15.5703125" style="13" customWidth="1"/>
    <col min="27" max="27" width="18" style="13" customWidth="1"/>
    <col min="28" max="28" width="16.7109375" style="13" customWidth="1"/>
    <col min="29" max="29" width="25.28515625" style="13" customWidth="1"/>
    <col min="30" max="32" width="15" style="13" customWidth="1"/>
    <col min="33" max="33" width="11.28515625" style="13" bestFit="1" customWidth="1"/>
    <col min="34" max="34" width="18.42578125" style="13" customWidth="1"/>
    <col min="35" max="35" width="20.85546875" style="13" bestFit="1" customWidth="1"/>
    <col min="36" max="36" width="13.28515625" style="13" bestFit="1" customWidth="1"/>
    <col min="37" max="37" width="9.42578125" style="13" bestFit="1" customWidth="1"/>
    <col min="38" max="16384" width="9.140625" style="13"/>
  </cols>
  <sheetData>
    <row r="6" spans="3:40">
      <c r="AC6" s="1018"/>
    </row>
    <row r="7" spans="3:40" s="126" customFormat="1" ht="32.25" customHeight="1">
      <c r="C7" s="126" t="s">
        <v>2041</v>
      </c>
      <c r="D7" s="126" t="s">
        <v>2182</v>
      </c>
      <c r="E7" s="126" t="s">
        <v>2175</v>
      </c>
      <c r="F7" s="126" t="s">
        <v>2176</v>
      </c>
      <c r="G7" s="126" t="s">
        <v>2183</v>
      </c>
      <c r="H7" s="126" t="s">
        <v>2185</v>
      </c>
      <c r="I7" s="126" t="s">
        <v>2177</v>
      </c>
      <c r="J7" s="126" t="s">
        <v>2178</v>
      </c>
      <c r="K7" s="126" t="s">
        <v>2179</v>
      </c>
      <c r="L7" s="126" t="s">
        <v>2191</v>
      </c>
      <c r="M7" s="126" t="s">
        <v>2228</v>
      </c>
      <c r="N7" s="126" t="s">
        <v>2184</v>
      </c>
      <c r="O7" s="126" t="s">
        <v>2186</v>
      </c>
      <c r="P7" s="126" t="s">
        <v>2180</v>
      </c>
      <c r="Q7" s="126" t="s">
        <v>2181</v>
      </c>
      <c r="R7" s="126" t="s">
        <v>2187</v>
      </c>
      <c r="S7" s="126" t="s">
        <v>2188</v>
      </c>
      <c r="T7" s="126" t="s">
        <v>2189</v>
      </c>
      <c r="U7" s="126" t="s">
        <v>2229</v>
      </c>
      <c r="V7" s="126" t="s">
        <v>2190</v>
      </c>
      <c r="W7" s="126" t="s">
        <v>2192</v>
      </c>
      <c r="X7" s="126" t="s">
        <v>2193</v>
      </c>
      <c r="Y7" s="415" t="s">
        <v>2194</v>
      </c>
      <c r="Z7" s="126" t="s">
        <v>2195</v>
      </c>
      <c r="AA7" s="126" t="s">
        <v>2196</v>
      </c>
      <c r="AB7" s="126" t="s">
        <v>2197</v>
      </c>
      <c r="AC7" s="126" t="s">
        <v>2198</v>
      </c>
      <c r="AD7" s="126" t="s">
        <v>2199</v>
      </c>
      <c r="AE7" s="126" t="s">
        <v>2375</v>
      </c>
      <c r="AF7" s="126" t="s">
        <v>2376</v>
      </c>
      <c r="AG7" s="126" t="s">
        <v>2200</v>
      </c>
      <c r="AH7" s="126" t="s">
        <v>2201</v>
      </c>
      <c r="AI7" s="126" t="s">
        <v>2202</v>
      </c>
      <c r="AJ7" s="126" t="s">
        <v>2203</v>
      </c>
      <c r="AK7" s="126" t="s">
        <v>2204</v>
      </c>
      <c r="AL7" s="126" t="s">
        <v>2265</v>
      </c>
      <c r="AM7" s="126" t="s">
        <v>2266</v>
      </c>
      <c r="AN7" s="126" t="s">
        <v>2267</v>
      </c>
    </row>
    <row r="8" spans="3:40">
      <c r="AC8" s="1018"/>
    </row>
    <row r="9" spans="3:40">
      <c r="AC9" s="1018"/>
    </row>
    <row r="10" spans="3:40">
      <c r="AC10" s="1018"/>
    </row>
    <row r="11" spans="3:40">
      <c r="AC11" s="1018"/>
    </row>
    <row r="12" spans="3:40">
      <c r="AC12" s="1018"/>
    </row>
    <row r="13" spans="3:40">
      <c r="AC13" s="1018"/>
    </row>
    <row r="14" spans="3:40">
      <c r="AC14" s="1018"/>
    </row>
    <row r="15" spans="3:40">
      <c r="AC15" s="1018"/>
    </row>
    <row r="16" spans="3:40">
      <c r="AC16" s="1018"/>
    </row>
    <row r="17" spans="29:29">
      <c r="AC17" s="1018"/>
    </row>
    <row r="18" spans="29:29">
      <c r="AC18" s="1018"/>
    </row>
    <row r="19" spans="29:29">
      <c r="AC19" s="1018"/>
    </row>
    <row r="20" spans="29:29">
      <c r="AC20" s="1018"/>
    </row>
    <row r="21" spans="29:29">
      <c r="AC21" s="1018"/>
    </row>
    <row r="22" spans="29:29">
      <c r="AC22" s="1018"/>
    </row>
    <row r="23" spans="29:29">
      <c r="AC23" s="1018"/>
    </row>
    <row r="24" spans="29:29">
      <c r="AC24" s="1018"/>
    </row>
    <row r="25" spans="29:29">
      <c r="AC25" s="1018"/>
    </row>
    <row r="26" spans="29:29">
      <c r="AC26" s="1018"/>
    </row>
    <row r="27" spans="29:29">
      <c r="AC27" s="101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4849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47625</xdr:rowOff>
                  </from>
                  <to>
                    <xdr:col>3</xdr:col>
                    <xdr:colOff>657225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D565"/>
  <sheetViews>
    <sheetView showGridLines="0" topLeftCell="A3" workbookViewId="0">
      <pane ySplit="5" topLeftCell="A8" activePane="bottomLeft" state="frozen"/>
      <selection pane="bottomLeft" activeCell="H23" sqref="H23"/>
    </sheetView>
  </sheetViews>
  <sheetFormatPr defaultRowHeight="15"/>
  <cols>
    <col min="1" max="1" width="2.42578125" customWidth="1"/>
    <col min="2" max="2" width="27" style="121" customWidth="1"/>
    <col min="3" max="3" width="5.42578125" style="13" customWidth="1"/>
    <col min="4" max="4" width="20.85546875" style="13" customWidth="1"/>
    <col min="5" max="5" width="16.140625" style="13" bestFit="1" customWidth="1"/>
    <col min="6" max="6" width="11.7109375" style="13" customWidth="1"/>
    <col min="7" max="7" width="14.140625" style="13" customWidth="1"/>
    <col min="8" max="8" width="19.140625" style="13" customWidth="1"/>
    <col min="9" max="9" width="10.85546875" style="13" customWidth="1"/>
    <col min="10" max="10" width="10.5703125" style="13" bestFit="1" customWidth="1"/>
    <col min="11" max="11" width="15.28515625" customWidth="1"/>
    <col min="12" max="12" width="8.140625" customWidth="1"/>
    <col min="13" max="13" width="24.5703125" style="13" customWidth="1"/>
    <col min="14" max="14" width="31" style="13" customWidth="1"/>
    <col min="15" max="15" width="23.7109375" style="13" customWidth="1"/>
    <col min="16" max="16" width="22.140625" style="13" customWidth="1"/>
    <col min="17" max="17" width="20.28515625" hidden="1" customWidth="1"/>
    <col min="18" max="18" width="15.85546875" style="13" bestFit="1" customWidth="1"/>
    <col min="19" max="19" width="16" style="1089" customWidth="1"/>
    <col min="20" max="20" width="25.42578125" style="1089" customWidth="1"/>
    <col min="21" max="21" width="80" customWidth="1"/>
    <col min="22" max="22" width="12" style="2" bestFit="1" customWidth="1"/>
    <col min="23" max="23" width="10" style="2" customWidth="1"/>
    <col min="24" max="24" width="12.7109375" style="2" customWidth="1"/>
    <col min="25" max="25" width="8.5703125" style="2" customWidth="1"/>
    <col min="26" max="26" width="10.7109375" style="2" customWidth="1"/>
    <col min="27" max="27" width="11.140625" style="2" customWidth="1"/>
    <col min="28" max="30" width="9.140625" style="2"/>
  </cols>
  <sheetData>
    <row r="1" spans="2:30" hidden="1"/>
    <row r="2" spans="2:30" hidden="1"/>
    <row r="7" spans="2:30" s="13" customFormat="1" ht="28.5" customHeight="1">
      <c r="B7" s="121" t="str">
        <f>IF(E8="","",VLOOKUP(E8,chart_account_list,5,FALSE)&amp;"-"&amp;VLOOKUP(E8,chart_account_list,6,FALSE))</f>
        <v/>
      </c>
      <c r="C7" s="13" t="s">
        <v>2041</v>
      </c>
      <c r="D7" s="13" t="s">
        <v>2205</v>
      </c>
      <c r="E7" s="13" t="s">
        <v>2206</v>
      </c>
      <c r="F7" s="13" t="s">
        <v>2207</v>
      </c>
      <c r="G7" s="13" t="s">
        <v>2208</v>
      </c>
      <c r="H7" s="13" t="s">
        <v>2209</v>
      </c>
      <c r="I7" s="13" t="s">
        <v>2210</v>
      </c>
      <c r="J7" s="13" t="s">
        <v>2211</v>
      </c>
      <c r="K7" s="13" t="s">
        <v>2212</v>
      </c>
      <c r="L7" s="13" t="s">
        <v>2213</v>
      </c>
      <c r="M7" s="13" t="s">
        <v>2214</v>
      </c>
      <c r="N7" s="13" t="s">
        <v>2215</v>
      </c>
      <c r="O7" s="13" t="s">
        <v>2561</v>
      </c>
      <c r="P7" s="13" t="s">
        <v>2217</v>
      </c>
      <c r="Q7" s="13" t="s">
        <v>2218</v>
      </c>
      <c r="R7" s="13" t="s">
        <v>340</v>
      </c>
      <c r="S7" s="1078" t="s">
        <v>2219</v>
      </c>
      <c r="T7" s="1078" t="s">
        <v>2220</v>
      </c>
      <c r="U7" s="13" t="s">
        <v>2221</v>
      </c>
      <c r="V7" s="2" t="s">
        <v>2222</v>
      </c>
      <c r="W7" s="2" t="s">
        <v>2223</v>
      </c>
      <c r="X7" s="2" t="s">
        <v>2224</v>
      </c>
      <c r="Y7" s="2" t="s">
        <v>2225</v>
      </c>
      <c r="Z7" s="2" t="s">
        <v>2226</v>
      </c>
      <c r="AA7" s="2" t="s">
        <v>2204</v>
      </c>
      <c r="AB7" s="2" t="s">
        <v>2268</v>
      </c>
      <c r="AC7" s="2" t="s">
        <v>2266</v>
      </c>
      <c r="AD7" s="2" t="s">
        <v>2267</v>
      </c>
    </row>
    <row r="34" spans="2:2">
      <c r="B34" s="121" t="str">
        <f t="shared" ref="B34:B71" si="0">IF(E34="","",VLOOKUP(E34,chart_account_list,5,FALSE)&amp;"-"&amp;VLOOKUP(E34,chart_account_list,6,FALSE))</f>
        <v/>
      </c>
    </row>
    <row r="35" spans="2:2">
      <c r="B35" s="121" t="str">
        <f t="shared" si="0"/>
        <v/>
      </c>
    </row>
    <row r="36" spans="2:2">
      <c r="B36" s="121" t="str">
        <f t="shared" si="0"/>
        <v/>
      </c>
    </row>
    <row r="37" spans="2:2">
      <c r="B37" s="121" t="str">
        <f t="shared" si="0"/>
        <v/>
      </c>
    </row>
    <row r="38" spans="2:2">
      <c r="B38" s="121" t="str">
        <f t="shared" si="0"/>
        <v/>
      </c>
    </row>
    <row r="39" spans="2:2">
      <c r="B39" s="121" t="str">
        <f t="shared" si="0"/>
        <v/>
      </c>
    </row>
    <row r="40" spans="2:2">
      <c r="B40" s="121" t="str">
        <f t="shared" si="0"/>
        <v/>
      </c>
    </row>
    <row r="41" spans="2:2">
      <c r="B41" s="121" t="str">
        <f t="shared" si="0"/>
        <v/>
      </c>
    </row>
    <row r="42" spans="2:2">
      <c r="B42" s="121" t="str">
        <f t="shared" si="0"/>
        <v/>
      </c>
    </row>
    <row r="43" spans="2:2">
      <c r="B43" s="121" t="str">
        <f t="shared" si="0"/>
        <v/>
      </c>
    </row>
    <row r="44" spans="2:2">
      <c r="B44" s="121" t="str">
        <f t="shared" si="0"/>
        <v/>
      </c>
    </row>
    <row r="45" spans="2:2">
      <c r="B45" s="121" t="str">
        <f t="shared" si="0"/>
        <v/>
      </c>
    </row>
    <row r="46" spans="2:2">
      <c r="B46" s="121" t="str">
        <f t="shared" si="0"/>
        <v/>
      </c>
    </row>
    <row r="47" spans="2:2">
      <c r="B47" s="121" t="str">
        <f t="shared" si="0"/>
        <v/>
      </c>
    </row>
    <row r="48" spans="2:2">
      <c r="B48" s="121" t="str">
        <f t="shared" si="0"/>
        <v/>
      </c>
    </row>
    <row r="49" spans="2:2">
      <c r="B49" s="121" t="str">
        <f t="shared" si="0"/>
        <v/>
      </c>
    </row>
    <row r="50" spans="2:2">
      <c r="B50" s="121" t="str">
        <f t="shared" si="0"/>
        <v/>
      </c>
    </row>
    <row r="51" spans="2:2">
      <c r="B51" s="121" t="str">
        <f t="shared" si="0"/>
        <v/>
      </c>
    </row>
    <row r="52" spans="2:2">
      <c r="B52" s="121" t="str">
        <f t="shared" si="0"/>
        <v/>
      </c>
    </row>
    <row r="53" spans="2:2">
      <c r="B53" s="121" t="str">
        <f t="shared" si="0"/>
        <v/>
      </c>
    </row>
    <row r="54" spans="2:2">
      <c r="B54" s="121" t="str">
        <f t="shared" si="0"/>
        <v/>
      </c>
    </row>
    <row r="55" spans="2:2">
      <c r="B55" s="121" t="str">
        <f t="shared" si="0"/>
        <v/>
      </c>
    </row>
    <row r="56" spans="2:2">
      <c r="B56" s="121" t="str">
        <f t="shared" si="0"/>
        <v/>
      </c>
    </row>
    <row r="57" spans="2:2">
      <c r="B57" s="121" t="str">
        <f t="shared" si="0"/>
        <v/>
      </c>
    </row>
    <row r="58" spans="2:2">
      <c r="B58" s="121" t="str">
        <f t="shared" si="0"/>
        <v/>
      </c>
    </row>
    <row r="59" spans="2:2">
      <c r="B59" s="121" t="str">
        <f t="shared" si="0"/>
        <v/>
      </c>
    </row>
    <row r="60" spans="2:2">
      <c r="B60" s="121" t="str">
        <f t="shared" si="0"/>
        <v/>
      </c>
    </row>
    <row r="61" spans="2:2">
      <c r="B61" s="121" t="str">
        <f t="shared" si="0"/>
        <v/>
      </c>
    </row>
    <row r="62" spans="2:2">
      <c r="B62" s="121" t="str">
        <f t="shared" si="0"/>
        <v/>
      </c>
    </row>
    <row r="63" spans="2:2">
      <c r="B63" s="121" t="str">
        <f t="shared" si="0"/>
        <v/>
      </c>
    </row>
    <row r="64" spans="2:2">
      <c r="B64" s="121" t="str">
        <f t="shared" si="0"/>
        <v/>
      </c>
    </row>
    <row r="65" spans="2:2">
      <c r="B65" s="121" t="str">
        <f t="shared" si="0"/>
        <v/>
      </c>
    </row>
    <row r="66" spans="2:2">
      <c r="B66" s="121" t="str">
        <f t="shared" si="0"/>
        <v/>
      </c>
    </row>
    <row r="67" spans="2:2">
      <c r="B67" s="121" t="str">
        <f t="shared" si="0"/>
        <v/>
      </c>
    </row>
    <row r="68" spans="2:2">
      <c r="B68" s="121" t="str">
        <f t="shared" si="0"/>
        <v/>
      </c>
    </row>
    <row r="69" spans="2:2">
      <c r="B69" s="121" t="str">
        <f t="shared" si="0"/>
        <v/>
      </c>
    </row>
    <row r="70" spans="2:2">
      <c r="B70" s="121" t="str">
        <f t="shared" si="0"/>
        <v/>
      </c>
    </row>
    <row r="71" spans="2:2">
      <c r="B71" s="121" t="str">
        <f t="shared" si="0"/>
        <v/>
      </c>
    </row>
    <row r="72" spans="2:2">
      <c r="B72" s="121" t="str">
        <f t="shared" ref="B72:B135" si="1">IF(E72="","",VLOOKUP(E72,chart_account_list,5,FALSE)&amp;"-"&amp;VLOOKUP(E72,chart_account_list,6,FALSE))</f>
        <v/>
      </c>
    </row>
    <row r="73" spans="2:2">
      <c r="B73" s="121" t="str">
        <f t="shared" si="1"/>
        <v/>
      </c>
    </row>
    <row r="74" spans="2:2">
      <c r="B74" s="121" t="str">
        <f t="shared" si="1"/>
        <v/>
      </c>
    </row>
    <row r="75" spans="2:2">
      <c r="B75" s="121" t="str">
        <f t="shared" si="1"/>
        <v/>
      </c>
    </row>
    <row r="76" spans="2:2">
      <c r="B76" s="121" t="str">
        <f t="shared" si="1"/>
        <v/>
      </c>
    </row>
    <row r="77" spans="2:2">
      <c r="B77" s="121" t="str">
        <f t="shared" si="1"/>
        <v/>
      </c>
    </row>
    <row r="78" spans="2:2">
      <c r="B78" s="121" t="str">
        <f t="shared" si="1"/>
        <v/>
      </c>
    </row>
    <row r="79" spans="2:2">
      <c r="B79" s="121" t="str">
        <f t="shared" si="1"/>
        <v/>
      </c>
    </row>
    <row r="80" spans="2:2">
      <c r="B80" s="121" t="str">
        <f t="shared" si="1"/>
        <v/>
      </c>
    </row>
    <row r="81" spans="2:2">
      <c r="B81" s="121" t="str">
        <f t="shared" si="1"/>
        <v/>
      </c>
    </row>
    <row r="82" spans="2:2">
      <c r="B82" s="121" t="str">
        <f t="shared" si="1"/>
        <v/>
      </c>
    </row>
    <row r="83" spans="2:2">
      <c r="B83" s="121" t="str">
        <f t="shared" si="1"/>
        <v/>
      </c>
    </row>
    <row r="84" spans="2:2">
      <c r="B84" s="121" t="str">
        <f t="shared" si="1"/>
        <v/>
      </c>
    </row>
    <row r="85" spans="2:2">
      <c r="B85" s="121" t="str">
        <f t="shared" si="1"/>
        <v/>
      </c>
    </row>
    <row r="86" spans="2:2">
      <c r="B86" s="121" t="str">
        <f t="shared" si="1"/>
        <v/>
      </c>
    </row>
    <row r="87" spans="2:2">
      <c r="B87" s="121" t="str">
        <f t="shared" si="1"/>
        <v/>
      </c>
    </row>
    <row r="88" spans="2:2">
      <c r="B88" s="121" t="str">
        <f t="shared" si="1"/>
        <v/>
      </c>
    </row>
    <row r="89" spans="2:2">
      <c r="B89" s="121" t="str">
        <f t="shared" si="1"/>
        <v/>
      </c>
    </row>
    <row r="90" spans="2:2">
      <c r="B90" s="121" t="str">
        <f t="shared" si="1"/>
        <v/>
      </c>
    </row>
    <row r="91" spans="2:2">
      <c r="B91" s="121" t="str">
        <f t="shared" si="1"/>
        <v/>
      </c>
    </row>
    <row r="92" spans="2:2">
      <c r="B92" s="121" t="str">
        <f t="shared" si="1"/>
        <v/>
      </c>
    </row>
    <row r="93" spans="2:2">
      <c r="B93" s="121" t="str">
        <f t="shared" si="1"/>
        <v/>
      </c>
    </row>
    <row r="94" spans="2:2">
      <c r="B94" s="121" t="str">
        <f t="shared" si="1"/>
        <v/>
      </c>
    </row>
    <row r="95" spans="2:2">
      <c r="B95" s="121" t="str">
        <f t="shared" si="1"/>
        <v/>
      </c>
    </row>
    <row r="96" spans="2:2">
      <c r="B96" s="121" t="str">
        <f t="shared" si="1"/>
        <v/>
      </c>
    </row>
    <row r="97" spans="2:2">
      <c r="B97" s="121" t="str">
        <f t="shared" si="1"/>
        <v/>
      </c>
    </row>
    <row r="98" spans="2:2">
      <c r="B98" s="121" t="str">
        <f t="shared" si="1"/>
        <v/>
      </c>
    </row>
    <row r="99" spans="2:2">
      <c r="B99" s="121" t="str">
        <f t="shared" si="1"/>
        <v/>
      </c>
    </row>
    <row r="100" spans="2:2">
      <c r="B100" s="121" t="str">
        <f t="shared" si="1"/>
        <v/>
      </c>
    </row>
    <row r="101" spans="2:2">
      <c r="B101" s="121" t="str">
        <f t="shared" si="1"/>
        <v/>
      </c>
    </row>
    <row r="102" spans="2:2">
      <c r="B102" s="121" t="str">
        <f t="shared" si="1"/>
        <v/>
      </c>
    </row>
    <row r="103" spans="2:2">
      <c r="B103" s="121" t="str">
        <f t="shared" si="1"/>
        <v/>
      </c>
    </row>
    <row r="104" spans="2:2">
      <c r="B104" s="121" t="str">
        <f t="shared" si="1"/>
        <v/>
      </c>
    </row>
    <row r="105" spans="2:2">
      <c r="B105" s="121" t="str">
        <f t="shared" si="1"/>
        <v/>
      </c>
    </row>
    <row r="106" spans="2:2">
      <c r="B106" s="121" t="str">
        <f t="shared" si="1"/>
        <v/>
      </c>
    </row>
    <row r="107" spans="2:2">
      <c r="B107" s="121" t="str">
        <f t="shared" si="1"/>
        <v/>
      </c>
    </row>
    <row r="108" spans="2:2">
      <c r="B108" s="121" t="str">
        <f t="shared" si="1"/>
        <v/>
      </c>
    </row>
    <row r="109" spans="2:2">
      <c r="B109" s="121" t="str">
        <f t="shared" si="1"/>
        <v/>
      </c>
    </row>
    <row r="110" spans="2:2">
      <c r="B110" s="121" t="str">
        <f t="shared" si="1"/>
        <v/>
      </c>
    </row>
    <row r="111" spans="2:2">
      <c r="B111" s="121" t="str">
        <f t="shared" si="1"/>
        <v/>
      </c>
    </row>
    <row r="112" spans="2:2">
      <c r="B112" s="121" t="str">
        <f t="shared" si="1"/>
        <v/>
      </c>
    </row>
    <row r="113" spans="2:2">
      <c r="B113" s="121" t="str">
        <f t="shared" si="1"/>
        <v/>
      </c>
    </row>
    <row r="114" spans="2:2">
      <c r="B114" s="121" t="str">
        <f t="shared" si="1"/>
        <v/>
      </c>
    </row>
    <row r="115" spans="2:2">
      <c r="B115" s="121" t="str">
        <f t="shared" si="1"/>
        <v/>
      </c>
    </row>
    <row r="116" spans="2:2">
      <c r="B116" s="121" t="str">
        <f t="shared" si="1"/>
        <v/>
      </c>
    </row>
    <row r="117" spans="2:2">
      <c r="B117" s="121" t="str">
        <f t="shared" si="1"/>
        <v/>
      </c>
    </row>
    <row r="118" spans="2:2">
      <c r="B118" s="121" t="str">
        <f t="shared" si="1"/>
        <v/>
      </c>
    </row>
    <row r="119" spans="2:2">
      <c r="B119" s="121" t="str">
        <f t="shared" si="1"/>
        <v/>
      </c>
    </row>
    <row r="120" spans="2:2">
      <c r="B120" s="121" t="str">
        <f t="shared" si="1"/>
        <v/>
      </c>
    </row>
    <row r="121" spans="2:2">
      <c r="B121" s="121" t="str">
        <f t="shared" si="1"/>
        <v/>
      </c>
    </row>
    <row r="122" spans="2:2">
      <c r="B122" s="121" t="str">
        <f t="shared" si="1"/>
        <v/>
      </c>
    </row>
    <row r="123" spans="2:2">
      <c r="B123" s="121" t="str">
        <f t="shared" si="1"/>
        <v/>
      </c>
    </row>
    <row r="124" spans="2:2">
      <c r="B124" s="121" t="str">
        <f t="shared" si="1"/>
        <v/>
      </c>
    </row>
    <row r="125" spans="2:2">
      <c r="B125" s="121" t="str">
        <f t="shared" si="1"/>
        <v/>
      </c>
    </row>
    <row r="126" spans="2:2">
      <c r="B126" s="121" t="str">
        <f t="shared" si="1"/>
        <v/>
      </c>
    </row>
    <row r="127" spans="2:2">
      <c r="B127" s="121" t="str">
        <f t="shared" si="1"/>
        <v/>
      </c>
    </row>
    <row r="128" spans="2:2">
      <c r="B128" s="121" t="str">
        <f t="shared" si="1"/>
        <v/>
      </c>
    </row>
    <row r="129" spans="2:2">
      <c r="B129" s="121" t="str">
        <f t="shared" si="1"/>
        <v/>
      </c>
    </row>
    <row r="130" spans="2:2">
      <c r="B130" s="121" t="str">
        <f t="shared" si="1"/>
        <v/>
      </c>
    </row>
    <row r="131" spans="2:2">
      <c r="B131" s="121" t="str">
        <f t="shared" si="1"/>
        <v/>
      </c>
    </row>
    <row r="132" spans="2:2">
      <c r="B132" s="121" t="str">
        <f t="shared" si="1"/>
        <v/>
      </c>
    </row>
    <row r="133" spans="2:2">
      <c r="B133" s="121" t="str">
        <f t="shared" si="1"/>
        <v/>
      </c>
    </row>
    <row r="134" spans="2:2">
      <c r="B134" s="121" t="str">
        <f t="shared" si="1"/>
        <v/>
      </c>
    </row>
    <row r="135" spans="2:2">
      <c r="B135" s="121" t="str">
        <f t="shared" si="1"/>
        <v/>
      </c>
    </row>
    <row r="136" spans="2:2">
      <c r="B136" s="121" t="str">
        <f t="shared" ref="B136:B199" si="2">IF(E136="","",VLOOKUP(E136,chart_account_list,5,FALSE)&amp;"-"&amp;VLOOKUP(E136,chart_account_list,6,FALSE))</f>
        <v/>
      </c>
    </row>
    <row r="137" spans="2:2">
      <c r="B137" s="121" t="str">
        <f t="shared" si="2"/>
        <v/>
      </c>
    </row>
    <row r="138" spans="2:2">
      <c r="B138" s="121" t="str">
        <f t="shared" si="2"/>
        <v/>
      </c>
    </row>
    <row r="139" spans="2:2">
      <c r="B139" s="121" t="str">
        <f t="shared" si="2"/>
        <v/>
      </c>
    </row>
    <row r="140" spans="2:2">
      <c r="B140" s="121" t="str">
        <f t="shared" si="2"/>
        <v/>
      </c>
    </row>
    <row r="141" spans="2:2">
      <c r="B141" s="121" t="str">
        <f t="shared" si="2"/>
        <v/>
      </c>
    </row>
    <row r="142" spans="2:2">
      <c r="B142" s="121" t="str">
        <f t="shared" si="2"/>
        <v/>
      </c>
    </row>
    <row r="143" spans="2:2">
      <c r="B143" s="121" t="str">
        <f t="shared" si="2"/>
        <v/>
      </c>
    </row>
    <row r="144" spans="2:2">
      <c r="B144" s="121" t="str">
        <f t="shared" si="2"/>
        <v/>
      </c>
    </row>
    <row r="145" spans="2:2">
      <c r="B145" s="121" t="str">
        <f t="shared" si="2"/>
        <v/>
      </c>
    </row>
    <row r="146" spans="2:2">
      <c r="B146" s="121" t="str">
        <f t="shared" si="2"/>
        <v/>
      </c>
    </row>
    <row r="147" spans="2:2">
      <c r="B147" s="121" t="str">
        <f t="shared" si="2"/>
        <v/>
      </c>
    </row>
    <row r="148" spans="2:2">
      <c r="B148" s="121" t="str">
        <f t="shared" si="2"/>
        <v/>
      </c>
    </row>
    <row r="149" spans="2:2">
      <c r="B149" s="121" t="str">
        <f t="shared" si="2"/>
        <v/>
      </c>
    </row>
    <row r="150" spans="2:2">
      <c r="B150" s="121" t="str">
        <f t="shared" si="2"/>
        <v/>
      </c>
    </row>
    <row r="151" spans="2:2">
      <c r="B151" s="121" t="str">
        <f t="shared" si="2"/>
        <v/>
      </c>
    </row>
    <row r="152" spans="2:2">
      <c r="B152" s="121" t="str">
        <f t="shared" si="2"/>
        <v/>
      </c>
    </row>
    <row r="153" spans="2:2">
      <c r="B153" s="121" t="str">
        <f t="shared" si="2"/>
        <v/>
      </c>
    </row>
    <row r="154" spans="2:2">
      <c r="B154" s="121" t="str">
        <f t="shared" si="2"/>
        <v/>
      </c>
    </row>
    <row r="155" spans="2:2">
      <c r="B155" s="121" t="str">
        <f t="shared" si="2"/>
        <v/>
      </c>
    </row>
    <row r="156" spans="2:2">
      <c r="B156" s="121" t="str">
        <f t="shared" si="2"/>
        <v/>
      </c>
    </row>
    <row r="157" spans="2:2">
      <c r="B157" s="121" t="str">
        <f t="shared" si="2"/>
        <v/>
      </c>
    </row>
    <row r="158" spans="2:2">
      <c r="B158" s="121" t="str">
        <f t="shared" si="2"/>
        <v/>
      </c>
    </row>
    <row r="159" spans="2:2">
      <c r="B159" s="121" t="str">
        <f t="shared" si="2"/>
        <v/>
      </c>
    </row>
    <row r="160" spans="2:2">
      <c r="B160" s="121" t="str">
        <f t="shared" si="2"/>
        <v/>
      </c>
    </row>
    <row r="161" spans="2:2">
      <c r="B161" s="121" t="str">
        <f t="shared" si="2"/>
        <v/>
      </c>
    </row>
    <row r="162" spans="2:2">
      <c r="B162" s="121" t="str">
        <f t="shared" si="2"/>
        <v/>
      </c>
    </row>
    <row r="163" spans="2:2">
      <c r="B163" s="121" t="str">
        <f t="shared" si="2"/>
        <v/>
      </c>
    </row>
    <row r="164" spans="2:2">
      <c r="B164" s="121" t="str">
        <f t="shared" si="2"/>
        <v/>
      </c>
    </row>
    <row r="165" spans="2:2">
      <c r="B165" s="121" t="str">
        <f t="shared" si="2"/>
        <v/>
      </c>
    </row>
    <row r="166" spans="2:2">
      <c r="B166" s="121" t="str">
        <f t="shared" si="2"/>
        <v/>
      </c>
    </row>
    <row r="167" spans="2:2">
      <c r="B167" s="121" t="str">
        <f t="shared" si="2"/>
        <v/>
      </c>
    </row>
    <row r="168" spans="2:2">
      <c r="B168" s="121" t="str">
        <f t="shared" si="2"/>
        <v/>
      </c>
    </row>
    <row r="169" spans="2:2">
      <c r="B169" s="121" t="str">
        <f t="shared" si="2"/>
        <v/>
      </c>
    </row>
    <row r="170" spans="2:2">
      <c r="B170" s="121" t="str">
        <f t="shared" si="2"/>
        <v/>
      </c>
    </row>
    <row r="171" spans="2:2">
      <c r="B171" s="121" t="str">
        <f t="shared" si="2"/>
        <v/>
      </c>
    </row>
    <row r="172" spans="2:2">
      <c r="B172" s="121" t="str">
        <f t="shared" si="2"/>
        <v/>
      </c>
    </row>
    <row r="173" spans="2:2">
      <c r="B173" s="121" t="str">
        <f t="shared" si="2"/>
        <v/>
      </c>
    </row>
    <row r="174" spans="2:2">
      <c r="B174" s="121" t="str">
        <f t="shared" si="2"/>
        <v/>
      </c>
    </row>
    <row r="175" spans="2:2">
      <c r="B175" s="121" t="str">
        <f t="shared" si="2"/>
        <v/>
      </c>
    </row>
    <row r="176" spans="2:2">
      <c r="B176" s="121" t="str">
        <f t="shared" si="2"/>
        <v/>
      </c>
    </row>
    <row r="177" spans="2:2">
      <c r="B177" s="121" t="str">
        <f t="shared" si="2"/>
        <v/>
      </c>
    </row>
    <row r="178" spans="2:2">
      <c r="B178" s="121" t="str">
        <f t="shared" si="2"/>
        <v/>
      </c>
    </row>
    <row r="179" spans="2:2">
      <c r="B179" s="121" t="str">
        <f t="shared" si="2"/>
        <v/>
      </c>
    </row>
    <row r="180" spans="2:2">
      <c r="B180" s="121" t="str">
        <f t="shared" si="2"/>
        <v/>
      </c>
    </row>
    <row r="181" spans="2:2">
      <c r="B181" s="121" t="str">
        <f t="shared" si="2"/>
        <v/>
      </c>
    </row>
    <row r="182" spans="2:2">
      <c r="B182" s="121" t="str">
        <f t="shared" si="2"/>
        <v/>
      </c>
    </row>
    <row r="183" spans="2:2">
      <c r="B183" s="121" t="str">
        <f t="shared" si="2"/>
        <v/>
      </c>
    </row>
    <row r="184" spans="2:2">
      <c r="B184" s="121" t="str">
        <f t="shared" si="2"/>
        <v/>
      </c>
    </row>
    <row r="185" spans="2:2">
      <c r="B185" s="121" t="str">
        <f t="shared" si="2"/>
        <v/>
      </c>
    </row>
    <row r="186" spans="2:2">
      <c r="B186" s="121" t="str">
        <f t="shared" si="2"/>
        <v/>
      </c>
    </row>
    <row r="187" spans="2:2">
      <c r="B187" s="121" t="str">
        <f t="shared" si="2"/>
        <v/>
      </c>
    </row>
    <row r="188" spans="2:2">
      <c r="B188" s="121" t="str">
        <f t="shared" si="2"/>
        <v/>
      </c>
    </row>
    <row r="189" spans="2:2">
      <c r="B189" s="121" t="str">
        <f t="shared" si="2"/>
        <v/>
      </c>
    </row>
    <row r="190" spans="2:2">
      <c r="B190" s="121" t="str">
        <f t="shared" si="2"/>
        <v/>
      </c>
    </row>
    <row r="191" spans="2:2">
      <c r="B191" s="121" t="str">
        <f t="shared" si="2"/>
        <v/>
      </c>
    </row>
    <row r="192" spans="2:2">
      <c r="B192" s="121" t="str">
        <f t="shared" si="2"/>
        <v/>
      </c>
    </row>
    <row r="193" spans="2:2">
      <c r="B193" s="121" t="str">
        <f t="shared" si="2"/>
        <v/>
      </c>
    </row>
    <row r="194" spans="2:2">
      <c r="B194" s="121" t="str">
        <f t="shared" si="2"/>
        <v/>
      </c>
    </row>
    <row r="195" spans="2:2">
      <c r="B195" s="121" t="str">
        <f t="shared" si="2"/>
        <v/>
      </c>
    </row>
    <row r="196" spans="2:2">
      <c r="B196" s="121" t="str">
        <f t="shared" si="2"/>
        <v/>
      </c>
    </row>
    <row r="197" spans="2:2">
      <c r="B197" s="121" t="str">
        <f t="shared" si="2"/>
        <v/>
      </c>
    </row>
    <row r="198" spans="2:2">
      <c r="B198" s="121" t="str">
        <f t="shared" si="2"/>
        <v/>
      </c>
    </row>
    <row r="199" spans="2:2">
      <c r="B199" s="121" t="str">
        <f t="shared" si="2"/>
        <v/>
      </c>
    </row>
    <row r="200" spans="2:2">
      <c r="B200" s="121" t="str">
        <f t="shared" ref="B200:B263" si="3">IF(E200="","",VLOOKUP(E200,chart_account_list,5,FALSE)&amp;"-"&amp;VLOOKUP(E200,chart_account_list,6,FALSE))</f>
        <v/>
      </c>
    </row>
    <row r="201" spans="2:2">
      <c r="B201" s="121" t="str">
        <f t="shared" si="3"/>
        <v/>
      </c>
    </row>
    <row r="202" spans="2:2">
      <c r="B202" s="121" t="str">
        <f t="shared" si="3"/>
        <v/>
      </c>
    </row>
    <row r="203" spans="2:2">
      <c r="B203" s="121" t="str">
        <f t="shared" si="3"/>
        <v/>
      </c>
    </row>
    <row r="204" spans="2:2">
      <c r="B204" s="121" t="str">
        <f t="shared" si="3"/>
        <v/>
      </c>
    </row>
    <row r="205" spans="2:2">
      <c r="B205" s="121" t="str">
        <f t="shared" si="3"/>
        <v/>
      </c>
    </row>
    <row r="206" spans="2:2">
      <c r="B206" s="121" t="str">
        <f t="shared" si="3"/>
        <v/>
      </c>
    </row>
    <row r="207" spans="2:2">
      <c r="B207" s="121" t="str">
        <f t="shared" si="3"/>
        <v/>
      </c>
    </row>
    <row r="208" spans="2:2">
      <c r="B208" s="121" t="str">
        <f t="shared" si="3"/>
        <v/>
      </c>
    </row>
    <row r="209" spans="2:2">
      <c r="B209" s="121" t="str">
        <f t="shared" si="3"/>
        <v/>
      </c>
    </row>
    <row r="210" spans="2:2">
      <c r="B210" s="121" t="str">
        <f t="shared" si="3"/>
        <v/>
      </c>
    </row>
    <row r="211" spans="2:2">
      <c r="B211" s="121" t="str">
        <f t="shared" si="3"/>
        <v/>
      </c>
    </row>
    <row r="212" spans="2:2">
      <c r="B212" s="121" t="str">
        <f t="shared" si="3"/>
        <v/>
      </c>
    </row>
    <row r="213" spans="2:2">
      <c r="B213" s="121" t="str">
        <f t="shared" si="3"/>
        <v/>
      </c>
    </row>
    <row r="214" spans="2:2">
      <c r="B214" s="121" t="str">
        <f t="shared" si="3"/>
        <v/>
      </c>
    </row>
    <row r="215" spans="2:2">
      <c r="B215" s="121" t="str">
        <f t="shared" si="3"/>
        <v/>
      </c>
    </row>
    <row r="216" spans="2:2">
      <c r="B216" s="121" t="str">
        <f t="shared" si="3"/>
        <v/>
      </c>
    </row>
    <row r="217" spans="2:2">
      <c r="B217" s="121" t="str">
        <f t="shared" si="3"/>
        <v/>
      </c>
    </row>
    <row r="218" spans="2:2">
      <c r="B218" s="121" t="str">
        <f t="shared" si="3"/>
        <v/>
      </c>
    </row>
    <row r="219" spans="2:2">
      <c r="B219" s="121" t="str">
        <f t="shared" si="3"/>
        <v/>
      </c>
    </row>
    <row r="220" spans="2:2">
      <c r="B220" s="121" t="str">
        <f t="shared" si="3"/>
        <v/>
      </c>
    </row>
    <row r="221" spans="2:2">
      <c r="B221" s="121" t="str">
        <f t="shared" si="3"/>
        <v/>
      </c>
    </row>
    <row r="222" spans="2:2">
      <c r="B222" s="121" t="str">
        <f t="shared" si="3"/>
        <v/>
      </c>
    </row>
    <row r="223" spans="2:2">
      <c r="B223" s="121" t="str">
        <f t="shared" si="3"/>
        <v/>
      </c>
    </row>
    <row r="224" spans="2:2">
      <c r="B224" s="121" t="str">
        <f t="shared" si="3"/>
        <v/>
      </c>
    </row>
    <row r="225" spans="2:2">
      <c r="B225" s="121" t="str">
        <f t="shared" si="3"/>
        <v/>
      </c>
    </row>
    <row r="226" spans="2:2">
      <c r="B226" s="121" t="str">
        <f t="shared" si="3"/>
        <v/>
      </c>
    </row>
    <row r="227" spans="2:2">
      <c r="B227" s="121" t="str">
        <f t="shared" si="3"/>
        <v/>
      </c>
    </row>
    <row r="228" spans="2:2">
      <c r="B228" s="121" t="str">
        <f t="shared" si="3"/>
        <v/>
      </c>
    </row>
    <row r="229" spans="2:2">
      <c r="B229" s="121" t="str">
        <f t="shared" si="3"/>
        <v/>
      </c>
    </row>
    <row r="230" spans="2:2">
      <c r="B230" s="121" t="str">
        <f t="shared" si="3"/>
        <v/>
      </c>
    </row>
    <row r="231" spans="2:2">
      <c r="B231" s="121" t="str">
        <f t="shared" si="3"/>
        <v/>
      </c>
    </row>
    <row r="232" spans="2:2">
      <c r="B232" s="121" t="str">
        <f t="shared" si="3"/>
        <v/>
      </c>
    </row>
    <row r="233" spans="2:2">
      <c r="B233" s="121" t="str">
        <f t="shared" si="3"/>
        <v/>
      </c>
    </row>
    <row r="234" spans="2:2">
      <c r="B234" s="121" t="str">
        <f t="shared" si="3"/>
        <v/>
      </c>
    </row>
    <row r="235" spans="2:2">
      <c r="B235" s="121" t="str">
        <f t="shared" si="3"/>
        <v/>
      </c>
    </row>
    <row r="236" spans="2:2">
      <c r="B236" s="121" t="str">
        <f t="shared" si="3"/>
        <v/>
      </c>
    </row>
    <row r="237" spans="2:2">
      <c r="B237" s="121" t="str">
        <f t="shared" si="3"/>
        <v/>
      </c>
    </row>
    <row r="238" spans="2:2">
      <c r="B238" s="121" t="str">
        <f t="shared" si="3"/>
        <v/>
      </c>
    </row>
    <row r="239" spans="2:2">
      <c r="B239" s="121" t="str">
        <f t="shared" si="3"/>
        <v/>
      </c>
    </row>
    <row r="240" spans="2:2">
      <c r="B240" s="121" t="str">
        <f t="shared" si="3"/>
        <v/>
      </c>
    </row>
    <row r="241" spans="2:2">
      <c r="B241" s="121" t="str">
        <f t="shared" si="3"/>
        <v/>
      </c>
    </row>
    <row r="242" spans="2:2">
      <c r="B242" s="121" t="str">
        <f t="shared" si="3"/>
        <v/>
      </c>
    </row>
    <row r="243" spans="2:2">
      <c r="B243" s="121" t="str">
        <f t="shared" si="3"/>
        <v/>
      </c>
    </row>
    <row r="244" spans="2:2">
      <c r="B244" s="121" t="str">
        <f t="shared" si="3"/>
        <v/>
      </c>
    </row>
    <row r="245" spans="2:2">
      <c r="B245" s="121" t="str">
        <f t="shared" si="3"/>
        <v/>
      </c>
    </row>
    <row r="246" spans="2:2">
      <c r="B246" s="121" t="str">
        <f t="shared" si="3"/>
        <v/>
      </c>
    </row>
    <row r="247" spans="2:2">
      <c r="B247" s="121" t="str">
        <f t="shared" si="3"/>
        <v/>
      </c>
    </row>
    <row r="248" spans="2:2">
      <c r="B248" s="121" t="str">
        <f t="shared" si="3"/>
        <v/>
      </c>
    </row>
    <row r="249" spans="2:2">
      <c r="B249" s="121" t="str">
        <f t="shared" si="3"/>
        <v/>
      </c>
    </row>
    <row r="250" spans="2:2">
      <c r="B250" s="121" t="str">
        <f t="shared" si="3"/>
        <v/>
      </c>
    </row>
    <row r="251" spans="2:2">
      <c r="B251" s="121" t="str">
        <f t="shared" si="3"/>
        <v/>
      </c>
    </row>
    <row r="252" spans="2:2">
      <c r="B252" s="121" t="str">
        <f t="shared" si="3"/>
        <v/>
      </c>
    </row>
    <row r="253" spans="2:2">
      <c r="B253" s="121" t="str">
        <f t="shared" si="3"/>
        <v/>
      </c>
    </row>
    <row r="254" spans="2:2">
      <c r="B254" s="121" t="str">
        <f t="shared" si="3"/>
        <v/>
      </c>
    </row>
    <row r="255" spans="2:2">
      <c r="B255" s="121" t="str">
        <f t="shared" si="3"/>
        <v/>
      </c>
    </row>
    <row r="256" spans="2:2">
      <c r="B256" s="121" t="str">
        <f t="shared" si="3"/>
        <v/>
      </c>
    </row>
    <row r="257" spans="2:2">
      <c r="B257" s="121" t="str">
        <f t="shared" si="3"/>
        <v/>
      </c>
    </row>
    <row r="258" spans="2:2">
      <c r="B258" s="121" t="str">
        <f t="shared" si="3"/>
        <v/>
      </c>
    </row>
    <row r="259" spans="2:2">
      <c r="B259" s="121" t="str">
        <f t="shared" si="3"/>
        <v/>
      </c>
    </row>
    <row r="260" spans="2:2">
      <c r="B260" s="121" t="str">
        <f t="shared" si="3"/>
        <v/>
      </c>
    </row>
    <row r="261" spans="2:2">
      <c r="B261" s="121" t="str">
        <f t="shared" si="3"/>
        <v/>
      </c>
    </row>
    <row r="262" spans="2:2">
      <c r="B262" s="121" t="str">
        <f t="shared" si="3"/>
        <v/>
      </c>
    </row>
    <row r="263" spans="2:2">
      <c r="B263" s="121" t="str">
        <f t="shared" si="3"/>
        <v/>
      </c>
    </row>
    <row r="264" spans="2:2">
      <c r="B264" s="121" t="str">
        <f t="shared" ref="B264:B327" si="4">IF(E264="","",VLOOKUP(E264,chart_account_list,5,FALSE)&amp;"-"&amp;VLOOKUP(E264,chart_account_list,6,FALSE))</f>
        <v/>
      </c>
    </row>
    <row r="265" spans="2:2">
      <c r="B265" s="121" t="str">
        <f t="shared" si="4"/>
        <v/>
      </c>
    </row>
    <row r="266" spans="2:2">
      <c r="B266" s="121" t="str">
        <f t="shared" si="4"/>
        <v/>
      </c>
    </row>
    <row r="267" spans="2:2">
      <c r="B267" s="121" t="str">
        <f t="shared" si="4"/>
        <v/>
      </c>
    </row>
    <row r="268" spans="2:2">
      <c r="B268" s="121" t="str">
        <f t="shared" si="4"/>
        <v/>
      </c>
    </row>
    <row r="269" spans="2:2">
      <c r="B269" s="121" t="str">
        <f t="shared" si="4"/>
        <v/>
      </c>
    </row>
    <row r="270" spans="2:2">
      <c r="B270" s="121" t="str">
        <f t="shared" si="4"/>
        <v/>
      </c>
    </row>
    <row r="271" spans="2:2">
      <c r="B271" s="121" t="str">
        <f t="shared" si="4"/>
        <v/>
      </c>
    </row>
    <row r="272" spans="2:2">
      <c r="B272" s="121" t="str">
        <f t="shared" si="4"/>
        <v/>
      </c>
    </row>
    <row r="273" spans="2:2">
      <c r="B273" s="121" t="str">
        <f t="shared" si="4"/>
        <v/>
      </c>
    </row>
    <row r="274" spans="2:2">
      <c r="B274" s="121" t="str">
        <f t="shared" si="4"/>
        <v/>
      </c>
    </row>
    <row r="275" spans="2:2">
      <c r="B275" s="121" t="str">
        <f t="shared" si="4"/>
        <v/>
      </c>
    </row>
    <row r="276" spans="2:2">
      <c r="B276" s="121" t="str">
        <f t="shared" si="4"/>
        <v/>
      </c>
    </row>
    <row r="277" spans="2:2">
      <c r="B277" s="121" t="str">
        <f t="shared" si="4"/>
        <v/>
      </c>
    </row>
    <row r="278" spans="2:2">
      <c r="B278" s="121" t="str">
        <f t="shared" si="4"/>
        <v/>
      </c>
    </row>
    <row r="279" spans="2:2">
      <c r="B279" s="121" t="str">
        <f t="shared" si="4"/>
        <v/>
      </c>
    </row>
    <row r="280" spans="2:2">
      <c r="B280" s="121" t="str">
        <f t="shared" si="4"/>
        <v/>
      </c>
    </row>
    <row r="281" spans="2:2">
      <c r="B281" s="121" t="str">
        <f t="shared" si="4"/>
        <v/>
      </c>
    </row>
    <row r="282" spans="2:2">
      <c r="B282" s="121" t="str">
        <f t="shared" si="4"/>
        <v/>
      </c>
    </row>
    <row r="283" spans="2:2">
      <c r="B283" s="121" t="str">
        <f t="shared" si="4"/>
        <v/>
      </c>
    </row>
    <row r="284" spans="2:2">
      <c r="B284" s="121" t="str">
        <f t="shared" si="4"/>
        <v/>
      </c>
    </row>
    <row r="285" spans="2:2">
      <c r="B285" s="121" t="str">
        <f t="shared" si="4"/>
        <v/>
      </c>
    </row>
    <row r="286" spans="2:2">
      <c r="B286" s="121" t="str">
        <f t="shared" si="4"/>
        <v/>
      </c>
    </row>
    <row r="287" spans="2:2">
      <c r="B287" s="121" t="str">
        <f t="shared" si="4"/>
        <v/>
      </c>
    </row>
    <row r="288" spans="2:2">
      <c r="B288" s="121" t="str">
        <f t="shared" si="4"/>
        <v/>
      </c>
    </row>
    <row r="289" spans="2:2">
      <c r="B289" s="121" t="str">
        <f t="shared" si="4"/>
        <v/>
      </c>
    </row>
    <row r="290" spans="2:2">
      <c r="B290" s="121" t="str">
        <f t="shared" si="4"/>
        <v/>
      </c>
    </row>
    <row r="291" spans="2:2">
      <c r="B291" s="121" t="str">
        <f t="shared" si="4"/>
        <v/>
      </c>
    </row>
    <row r="292" spans="2:2">
      <c r="B292" s="121" t="str">
        <f t="shared" si="4"/>
        <v/>
      </c>
    </row>
    <row r="293" spans="2:2">
      <c r="B293" s="121" t="str">
        <f t="shared" si="4"/>
        <v/>
      </c>
    </row>
    <row r="294" spans="2:2">
      <c r="B294" s="121" t="str">
        <f t="shared" si="4"/>
        <v/>
      </c>
    </row>
    <row r="295" spans="2:2">
      <c r="B295" s="121" t="str">
        <f t="shared" si="4"/>
        <v/>
      </c>
    </row>
    <row r="296" spans="2:2">
      <c r="B296" s="121" t="str">
        <f t="shared" si="4"/>
        <v/>
      </c>
    </row>
    <row r="297" spans="2:2">
      <c r="B297" s="121" t="str">
        <f t="shared" si="4"/>
        <v/>
      </c>
    </row>
    <row r="298" spans="2:2">
      <c r="B298" s="121" t="str">
        <f t="shared" si="4"/>
        <v/>
      </c>
    </row>
    <row r="299" spans="2:2">
      <c r="B299" s="121" t="str">
        <f t="shared" si="4"/>
        <v/>
      </c>
    </row>
    <row r="300" spans="2:2">
      <c r="B300" s="121" t="str">
        <f t="shared" si="4"/>
        <v/>
      </c>
    </row>
    <row r="301" spans="2:2">
      <c r="B301" s="121" t="str">
        <f t="shared" si="4"/>
        <v/>
      </c>
    </row>
    <row r="302" spans="2:2">
      <c r="B302" s="121" t="str">
        <f t="shared" si="4"/>
        <v/>
      </c>
    </row>
    <row r="303" spans="2:2">
      <c r="B303" s="121" t="str">
        <f t="shared" si="4"/>
        <v/>
      </c>
    </row>
    <row r="304" spans="2:2">
      <c r="B304" s="121" t="str">
        <f t="shared" si="4"/>
        <v/>
      </c>
    </row>
    <row r="305" spans="2:2">
      <c r="B305" s="121" t="str">
        <f t="shared" si="4"/>
        <v/>
      </c>
    </row>
    <row r="306" spans="2:2">
      <c r="B306" s="121" t="str">
        <f t="shared" si="4"/>
        <v/>
      </c>
    </row>
    <row r="307" spans="2:2">
      <c r="B307" s="121" t="str">
        <f t="shared" si="4"/>
        <v/>
      </c>
    </row>
    <row r="308" spans="2:2">
      <c r="B308" s="121" t="str">
        <f t="shared" si="4"/>
        <v/>
      </c>
    </row>
    <row r="309" spans="2:2">
      <c r="B309" s="121" t="str">
        <f t="shared" si="4"/>
        <v/>
      </c>
    </row>
    <row r="310" spans="2:2">
      <c r="B310" s="121" t="str">
        <f t="shared" si="4"/>
        <v/>
      </c>
    </row>
    <row r="311" spans="2:2">
      <c r="B311" s="121" t="str">
        <f t="shared" si="4"/>
        <v/>
      </c>
    </row>
    <row r="312" spans="2:2">
      <c r="B312" s="121" t="str">
        <f t="shared" si="4"/>
        <v/>
      </c>
    </row>
    <row r="313" spans="2:2">
      <c r="B313" s="121" t="str">
        <f t="shared" si="4"/>
        <v/>
      </c>
    </row>
    <row r="314" spans="2:2">
      <c r="B314" s="121" t="str">
        <f t="shared" si="4"/>
        <v/>
      </c>
    </row>
    <row r="315" spans="2:2">
      <c r="B315" s="121" t="str">
        <f t="shared" si="4"/>
        <v/>
      </c>
    </row>
    <row r="316" spans="2:2">
      <c r="B316" s="121" t="str">
        <f t="shared" si="4"/>
        <v/>
      </c>
    </row>
    <row r="317" spans="2:2">
      <c r="B317" s="121" t="str">
        <f t="shared" si="4"/>
        <v/>
      </c>
    </row>
    <row r="318" spans="2:2">
      <c r="B318" s="121" t="str">
        <f t="shared" si="4"/>
        <v/>
      </c>
    </row>
    <row r="319" spans="2:2">
      <c r="B319" s="121" t="str">
        <f t="shared" si="4"/>
        <v/>
      </c>
    </row>
    <row r="320" spans="2:2">
      <c r="B320" s="121" t="str">
        <f t="shared" si="4"/>
        <v/>
      </c>
    </row>
    <row r="321" spans="2:2">
      <c r="B321" s="121" t="str">
        <f t="shared" si="4"/>
        <v/>
      </c>
    </row>
    <row r="322" spans="2:2">
      <c r="B322" s="121" t="str">
        <f t="shared" si="4"/>
        <v/>
      </c>
    </row>
    <row r="323" spans="2:2">
      <c r="B323" s="121" t="str">
        <f t="shared" si="4"/>
        <v/>
      </c>
    </row>
    <row r="324" spans="2:2">
      <c r="B324" s="121" t="str">
        <f t="shared" si="4"/>
        <v/>
      </c>
    </row>
    <row r="325" spans="2:2">
      <c r="B325" s="121" t="str">
        <f t="shared" si="4"/>
        <v/>
      </c>
    </row>
    <row r="326" spans="2:2">
      <c r="B326" s="121" t="str">
        <f t="shared" si="4"/>
        <v/>
      </c>
    </row>
    <row r="327" spans="2:2">
      <c r="B327" s="121" t="str">
        <f t="shared" si="4"/>
        <v/>
      </c>
    </row>
    <row r="328" spans="2:2">
      <c r="B328" s="121" t="str">
        <f t="shared" ref="B328:B391" si="5">IF(E328="","",VLOOKUP(E328,chart_account_list,5,FALSE)&amp;"-"&amp;VLOOKUP(E328,chart_account_list,6,FALSE))</f>
        <v/>
      </c>
    </row>
    <row r="329" spans="2:2">
      <c r="B329" s="121" t="str">
        <f t="shared" si="5"/>
        <v/>
      </c>
    </row>
    <row r="330" spans="2:2">
      <c r="B330" s="121" t="str">
        <f t="shared" si="5"/>
        <v/>
      </c>
    </row>
    <row r="331" spans="2:2">
      <c r="B331" s="121" t="str">
        <f t="shared" si="5"/>
        <v/>
      </c>
    </row>
    <row r="332" spans="2:2">
      <c r="B332" s="121" t="str">
        <f t="shared" si="5"/>
        <v/>
      </c>
    </row>
    <row r="333" spans="2:2">
      <c r="B333" s="121" t="str">
        <f t="shared" si="5"/>
        <v/>
      </c>
    </row>
    <row r="334" spans="2:2">
      <c r="B334" s="121" t="str">
        <f t="shared" si="5"/>
        <v/>
      </c>
    </row>
    <row r="335" spans="2:2">
      <c r="B335" s="121" t="str">
        <f t="shared" si="5"/>
        <v/>
      </c>
    </row>
    <row r="336" spans="2:2">
      <c r="B336" s="121" t="str">
        <f t="shared" si="5"/>
        <v/>
      </c>
    </row>
    <row r="337" spans="2:2">
      <c r="B337" s="121" t="str">
        <f t="shared" si="5"/>
        <v/>
      </c>
    </row>
    <row r="338" spans="2:2">
      <c r="B338" s="121" t="str">
        <f t="shared" si="5"/>
        <v/>
      </c>
    </row>
    <row r="339" spans="2:2">
      <c r="B339" s="121" t="str">
        <f t="shared" si="5"/>
        <v/>
      </c>
    </row>
    <row r="340" spans="2:2">
      <c r="B340" s="121" t="str">
        <f t="shared" si="5"/>
        <v/>
      </c>
    </row>
    <row r="341" spans="2:2">
      <c r="B341" s="121" t="str">
        <f t="shared" si="5"/>
        <v/>
      </c>
    </row>
    <row r="342" spans="2:2">
      <c r="B342" s="121" t="str">
        <f t="shared" si="5"/>
        <v/>
      </c>
    </row>
    <row r="343" spans="2:2">
      <c r="B343" s="121" t="str">
        <f t="shared" si="5"/>
        <v/>
      </c>
    </row>
    <row r="344" spans="2:2">
      <c r="B344" s="121" t="str">
        <f t="shared" si="5"/>
        <v/>
      </c>
    </row>
    <row r="345" spans="2:2">
      <c r="B345" s="121" t="str">
        <f t="shared" si="5"/>
        <v/>
      </c>
    </row>
    <row r="346" spans="2:2">
      <c r="B346" s="121" t="str">
        <f t="shared" si="5"/>
        <v/>
      </c>
    </row>
    <row r="347" spans="2:2">
      <c r="B347" s="121" t="str">
        <f t="shared" si="5"/>
        <v/>
      </c>
    </row>
    <row r="348" spans="2:2">
      <c r="B348" s="121" t="str">
        <f t="shared" si="5"/>
        <v/>
      </c>
    </row>
    <row r="349" spans="2:2">
      <c r="B349" s="121" t="str">
        <f t="shared" si="5"/>
        <v/>
      </c>
    </row>
    <row r="350" spans="2:2">
      <c r="B350" s="121" t="str">
        <f t="shared" si="5"/>
        <v/>
      </c>
    </row>
    <row r="351" spans="2:2">
      <c r="B351" s="121" t="str">
        <f t="shared" si="5"/>
        <v/>
      </c>
    </row>
    <row r="352" spans="2:2">
      <c r="B352" s="121" t="str">
        <f t="shared" si="5"/>
        <v/>
      </c>
    </row>
    <row r="353" spans="2:2">
      <c r="B353" s="121" t="str">
        <f t="shared" si="5"/>
        <v/>
      </c>
    </row>
    <row r="354" spans="2:2">
      <c r="B354" s="121" t="str">
        <f t="shared" si="5"/>
        <v/>
      </c>
    </row>
    <row r="355" spans="2:2">
      <c r="B355" s="121" t="str">
        <f t="shared" si="5"/>
        <v/>
      </c>
    </row>
    <row r="356" spans="2:2">
      <c r="B356" s="121" t="str">
        <f t="shared" si="5"/>
        <v/>
      </c>
    </row>
    <row r="357" spans="2:2">
      <c r="B357" s="121" t="str">
        <f t="shared" si="5"/>
        <v/>
      </c>
    </row>
    <row r="358" spans="2:2">
      <c r="B358" s="121" t="str">
        <f t="shared" si="5"/>
        <v/>
      </c>
    </row>
    <row r="359" spans="2:2">
      <c r="B359" s="121" t="str">
        <f t="shared" si="5"/>
        <v/>
      </c>
    </row>
    <row r="360" spans="2:2">
      <c r="B360" s="121" t="str">
        <f t="shared" si="5"/>
        <v/>
      </c>
    </row>
    <row r="361" spans="2:2">
      <c r="B361" s="121" t="str">
        <f t="shared" si="5"/>
        <v/>
      </c>
    </row>
    <row r="362" spans="2:2">
      <c r="B362" s="121" t="str">
        <f t="shared" si="5"/>
        <v/>
      </c>
    </row>
    <row r="363" spans="2:2">
      <c r="B363" s="121" t="str">
        <f t="shared" si="5"/>
        <v/>
      </c>
    </row>
    <row r="364" spans="2:2">
      <c r="B364" s="121" t="str">
        <f t="shared" si="5"/>
        <v/>
      </c>
    </row>
    <row r="365" spans="2:2">
      <c r="B365" s="121" t="str">
        <f t="shared" si="5"/>
        <v/>
      </c>
    </row>
    <row r="366" spans="2:2">
      <c r="B366" s="121" t="str">
        <f t="shared" si="5"/>
        <v/>
      </c>
    </row>
    <row r="367" spans="2:2">
      <c r="B367" s="121" t="str">
        <f t="shared" si="5"/>
        <v/>
      </c>
    </row>
    <row r="368" spans="2:2">
      <c r="B368" s="121" t="str">
        <f t="shared" si="5"/>
        <v/>
      </c>
    </row>
    <row r="369" spans="2:2">
      <c r="B369" s="121" t="str">
        <f t="shared" si="5"/>
        <v/>
      </c>
    </row>
    <row r="370" spans="2:2">
      <c r="B370" s="121" t="str">
        <f t="shared" si="5"/>
        <v/>
      </c>
    </row>
    <row r="371" spans="2:2">
      <c r="B371" s="121" t="str">
        <f t="shared" si="5"/>
        <v/>
      </c>
    </row>
    <row r="372" spans="2:2">
      <c r="B372" s="121" t="str">
        <f t="shared" si="5"/>
        <v/>
      </c>
    </row>
    <row r="373" spans="2:2">
      <c r="B373" s="121" t="str">
        <f t="shared" si="5"/>
        <v/>
      </c>
    </row>
    <row r="374" spans="2:2">
      <c r="B374" s="121" t="str">
        <f t="shared" si="5"/>
        <v/>
      </c>
    </row>
    <row r="375" spans="2:2">
      <c r="B375" s="121" t="str">
        <f t="shared" si="5"/>
        <v/>
      </c>
    </row>
    <row r="376" spans="2:2">
      <c r="B376" s="121" t="str">
        <f t="shared" si="5"/>
        <v/>
      </c>
    </row>
    <row r="377" spans="2:2">
      <c r="B377" s="121" t="str">
        <f t="shared" si="5"/>
        <v/>
      </c>
    </row>
    <row r="378" spans="2:2">
      <c r="B378" s="121" t="str">
        <f t="shared" si="5"/>
        <v/>
      </c>
    </row>
    <row r="379" spans="2:2">
      <c r="B379" s="121" t="str">
        <f t="shared" si="5"/>
        <v/>
      </c>
    </row>
    <row r="380" spans="2:2">
      <c r="B380" s="121" t="str">
        <f t="shared" si="5"/>
        <v/>
      </c>
    </row>
    <row r="381" spans="2:2">
      <c r="B381" s="121" t="str">
        <f t="shared" si="5"/>
        <v/>
      </c>
    </row>
    <row r="382" spans="2:2">
      <c r="B382" s="121" t="str">
        <f t="shared" si="5"/>
        <v/>
      </c>
    </row>
    <row r="383" spans="2:2">
      <c r="B383" s="121" t="str">
        <f t="shared" si="5"/>
        <v/>
      </c>
    </row>
    <row r="384" spans="2:2">
      <c r="B384" s="121" t="str">
        <f t="shared" si="5"/>
        <v/>
      </c>
    </row>
    <row r="385" spans="2:2">
      <c r="B385" s="121" t="str">
        <f t="shared" si="5"/>
        <v/>
      </c>
    </row>
    <row r="386" spans="2:2">
      <c r="B386" s="121" t="str">
        <f t="shared" si="5"/>
        <v/>
      </c>
    </row>
    <row r="387" spans="2:2">
      <c r="B387" s="121" t="str">
        <f t="shared" si="5"/>
        <v/>
      </c>
    </row>
    <row r="388" spans="2:2">
      <c r="B388" s="121" t="str">
        <f t="shared" si="5"/>
        <v/>
      </c>
    </row>
    <row r="389" spans="2:2">
      <c r="B389" s="121" t="str">
        <f t="shared" si="5"/>
        <v/>
      </c>
    </row>
    <row r="390" spans="2:2">
      <c r="B390" s="121" t="str">
        <f t="shared" si="5"/>
        <v/>
      </c>
    </row>
    <row r="391" spans="2:2">
      <c r="B391" s="121" t="str">
        <f t="shared" si="5"/>
        <v/>
      </c>
    </row>
    <row r="392" spans="2:2">
      <c r="B392" s="121" t="str">
        <f t="shared" ref="B392:B455" si="6">IF(E392="","",VLOOKUP(E392,chart_account_list,5,FALSE)&amp;"-"&amp;VLOOKUP(E392,chart_account_list,6,FALSE))</f>
        <v/>
      </c>
    </row>
    <row r="393" spans="2:2">
      <c r="B393" s="121" t="str">
        <f t="shared" si="6"/>
        <v/>
      </c>
    </row>
    <row r="394" spans="2:2">
      <c r="B394" s="121" t="str">
        <f t="shared" si="6"/>
        <v/>
      </c>
    </row>
    <row r="395" spans="2:2">
      <c r="B395" s="121" t="str">
        <f t="shared" si="6"/>
        <v/>
      </c>
    </row>
    <row r="396" spans="2:2">
      <c r="B396" s="121" t="str">
        <f t="shared" si="6"/>
        <v/>
      </c>
    </row>
    <row r="397" spans="2:2">
      <c r="B397" s="121" t="str">
        <f t="shared" si="6"/>
        <v/>
      </c>
    </row>
    <row r="398" spans="2:2">
      <c r="B398" s="121" t="str">
        <f t="shared" si="6"/>
        <v/>
      </c>
    </row>
    <row r="399" spans="2:2">
      <c r="B399" s="121" t="str">
        <f t="shared" si="6"/>
        <v/>
      </c>
    </row>
    <row r="400" spans="2:2">
      <c r="B400" s="121" t="str">
        <f t="shared" si="6"/>
        <v/>
      </c>
    </row>
    <row r="401" spans="2:2">
      <c r="B401" s="121" t="str">
        <f t="shared" si="6"/>
        <v/>
      </c>
    </row>
    <row r="402" spans="2:2">
      <c r="B402" s="121" t="str">
        <f t="shared" si="6"/>
        <v/>
      </c>
    </row>
    <row r="403" spans="2:2">
      <c r="B403" s="121" t="str">
        <f t="shared" si="6"/>
        <v/>
      </c>
    </row>
    <row r="404" spans="2:2">
      <c r="B404" s="121" t="str">
        <f t="shared" si="6"/>
        <v/>
      </c>
    </row>
    <row r="405" spans="2:2">
      <c r="B405" s="121" t="str">
        <f t="shared" si="6"/>
        <v/>
      </c>
    </row>
    <row r="406" spans="2:2">
      <c r="B406" s="121" t="str">
        <f t="shared" si="6"/>
        <v/>
      </c>
    </row>
    <row r="407" spans="2:2">
      <c r="B407" s="121" t="str">
        <f t="shared" si="6"/>
        <v/>
      </c>
    </row>
    <row r="408" spans="2:2">
      <c r="B408" s="121" t="str">
        <f t="shared" si="6"/>
        <v/>
      </c>
    </row>
    <row r="409" spans="2:2">
      <c r="B409" s="121" t="str">
        <f t="shared" si="6"/>
        <v/>
      </c>
    </row>
    <row r="410" spans="2:2">
      <c r="B410" s="121" t="str">
        <f t="shared" si="6"/>
        <v/>
      </c>
    </row>
    <row r="411" spans="2:2">
      <c r="B411" s="121" t="str">
        <f t="shared" si="6"/>
        <v/>
      </c>
    </row>
    <row r="412" spans="2:2">
      <c r="B412" s="121" t="str">
        <f t="shared" si="6"/>
        <v/>
      </c>
    </row>
    <row r="413" spans="2:2">
      <c r="B413" s="121" t="str">
        <f t="shared" si="6"/>
        <v/>
      </c>
    </row>
    <row r="414" spans="2:2">
      <c r="B414" s="121" t="str">
        <f t="shared" si="6"/>
        <v/>
      </c>
    </row>
    <row r="415" spans="2:2">
      <c r="B415" s="121" t="str">
        <f t="shared" si="6"/>
        <v/>
      </c>
    </row>
    <row r="416" spans="2:2">
      <c r="B416" s="121" t="str">
        <f t="shared" si="6"/>
        <v/>
      </c>
    </row>
    <row r="417" spans="2:2">
      <c r="B417" s="121" t="str">
        <f t="shared" si="6"/>
        <v/>
      </c>
    </row>
    <row r="418" spans="2:2">
      <c r="B418" s="121" t="str">
        <f t="shared" si="6"/>
        <v/>
      </c>
    </row>
    <row r="419" spans="2:2">
      <c r="B419" s="121" t="str">
        <f t="shared" si="6"/>
        <v/>
      </c>
    </row>
    <row r="420" spans="2:2">
      <c r="B420" s="121" t="str">
        <f t="shared" si="6"/>
        <v/>
      </c>
    </row>
    <row r="421" spans="2:2">
      <c r="B421" s="121" t="str">
        <f t="shared" si="6"/>
        <v/>
      </c>
    </row>
    <row r="422" spans="2:2">
      <c r="B422" s="121" t="str">
        <f t="shared" si="6"/>
        <v/>
      </c>
    </row>
    <row r="423" spans="2:2">
      <c r="B423" s="121" t="str">
        <f t="shared" si="6"/>
        <v/>
      </c>
    </row>
    <row r="424" spans="2:2">
      <c r="B424" s="121" t="str">
        <f t="shared" si="6"/>
        <v/>
      </c>
    </row>
    <row r="425" spans="2:2">
      <c r="B425" s="121" t="str">
        <f t="shared" si="6"/>
        <v/>
      </c>
    </row>
    <row r="426" spans="2:2">
      <c r="B426" s="121" t="str">
        <f t="shared" si="6"/>
        <v/>
      </c>
    </row>
    <row r="427" spans="2:2">
      <c r="B427" s="121" t="str">
        <f t="shared" si="6"/>
        <v/>
      </c>
    </row>
    <row r="428" spans="2:2">
      <c r="B428" s="121" t="str">
        <f t="shared" si="6"/>
        <v/>
      </c>
    </row>
    <row r="429" spans="2:2">
      <c r="B429" s="121" t="str">
        <f t="shared" si="6"/>
        <v/>
      </c>
    </row>
    <row r="430" spans="2:2">
      <c r="B430" s="121" t="str">
        <f t="shared" si="6"/>
        <v/>
      </c>
    </row>
    <row r="431" spans="2:2">
      <c r="B431" s="121" t="str">
        <f t="shared" si="6"/>
        <v/>
      </c>
    </row>
    <row r="432" spans="2:2">
      <c r="B432" s="121" t="str">
        <f t="shared" si="6"/>
        <v/>
      </c>
    </row>
    <row r="433" spans="2:2">
      <c r="B433" s="121" t="str">
        <f t="shared" si="6"/>
        <v/>
      </c>
    </row>
    <row r="434" spans="2:2">
      <c r="B434" s="121" t="str">
        <f t="shared" si="6"/>
        <v/>
      </c>
    </row>
    <row r="435" spans="2:2">
      <c r="B435" s="121" t="str">
        <f t="shared" si="6"/>
        <v/>
      </c>
    </row>
    <row r="436" spans="2:2">
      <c r="B436" s="121" t="str">
        <f t="shared" si="6"/>
        <v/>
      </c>
    </row>
    <row r="437" spans="2:2">
      <c r="B437" s="121" t="str">
        <f t="shared" si="6"/>
        <v/>
      </c>
    </row>
    <row r="438" spans="2:2">
      <c r="B438" s="121" t="str">
        <f t="shared" si="6"/>
        <v/>
      </c>
    </row>
    <row r="439" spans="2:2">
      <c r="B439" s="121" t="str">
        <f t="shared" si="6"/>
        <v/>
      </c>
    </row>
    <row r="440" spans="2:2">
      <c r="B440" s="121" t="str">
        <f t="shared" si="6"/>
        <v/>
      </c>
    </row>
    <row r="441" spans="2:2">
      <c r="B441" s="121" t="str">
        <f t="shared" si="6"/>
        <v/>
      </c>
    </row>
    <row r="442" spans="2:2">
      <c r="B442" s="121" t="str">
        <f t="shared" si="6"/>
        <v/>
      </c>
    </row>
    <row r="443" spans="2:2">
      <c r="B443" s="121" t="str">
        <f t="shared" si="6"/>
        <v/>
      </c>
    </row>
    <row r="444" spans="2:2">
      <c r="B444" s="121" t="str">
        <f t="shared" si="6"/>
        <v/>
      </c>
    </row>
    <row r="445" spans="2:2">
      <c r="B445" s="121" t="str">
        <f t="shared" si="6"/>
        <v/>
      </c>
    </row>
    <row r="446" spans="2:2">
      <c r="B446" s="121" t="str">
        <f t="shared" si="6"/>
        <v/>
      </c>
    </row>
    <row r="447" spans="2:2">
      <c r="B447" s="121" t="str">
        <f t="shared" si="6"/>
        <v/>
      </c>
    </row>
    <row r="448" spans="2:2">
      <c r="B448" s="121" t="str">
        <f t="shared" si="6"/>
        <v/>
      </c>
    </row>
    <row r="449" spans="2:2">
      <c r="B449" s="121" t="str">
        <f t="shared" si="6"/>
        <v/>
      </c>
    </row>
    <row r="450" spans="2:2">
      <c r="B450" s="121" t="str">
        <f t="shared" si="6"/>
        <v/>
      </c>
    </row>
    <row r="451" spans="2:2">
      <c r="B451" s="121" t="str">
        <f t="shared" si="6"/>
        <v/>
      </c>
    </row>
    <row r="452" spans="2:2">
      <c r="B452" s="121" t="str">
        <f t="shared" si="6"/>
        <v/>
      </c>
    </row>
    <row r="453" spans="2:2">
      <c r="B453" s="121" t="str">
        <f t="shared" si="6"/>
        <v/>
      </c>
    </row>
    <row r="454" spans="2:2">
      <c r="B454" s="121" t="str">
        <f t="shared" si="6"/>
        <v/>
      </c>
    </row>
    <row r="455" spans="2:2">
      <c r="B455" s="121" t="str">
        <f t="shared" si="6"/>
        <v/>
      </c>
    </row>
    <row r="456" spans="2:2">
      <c r="B456" s="121" t="str">
        <f t="shared" ref="B456:B519" si="7">IF(E456="","",VLOOKUP(E456,chart_account_list,5,FALSE)&amp;"-"&amp;VLOOKUP(E456,chart_account_list,6,FALSE))</f>
        <v/>
      </c>
    </row>
    <row r="457" spans="2:2">
      <c r="B457" s="121" t="str">
        <f t="shared" si="7"/>
        <v/>
      </c>
    </row>
    <row r="458" spans="2:2">
      <c r="B458" s="121" t="str">
        <f t="shared" si="7"/>
        <v/>
      </c>
    </row>
    <row r="459" spans="2:2">
      <c r="B459" s="121" t="str">
        <f t="shared" si="7"/>
        <v/>
      </c>
    </row>
    <row r="460" spans="2:2">
      <c r="B460" s="121" t="str">
        <f t="shared" si="7"/>
        <v/>
      </c>
    </row>
    <row r="461" spans="2:2">
      <c r="B461" s="121" t="str">
        <f t="shared" si="7"/>
        <v/>
      </c>
    </row>
    <row r="462" spans="2:2">
      <c r="B462" s="121" t="str">
        <f t="shared" si="7"/>
        <v/>
      </c>
    </row>
    <row r="463" spans="2:2">
      <c r="B463" s="121" t="str">
        <f t="shared" si="7"/>
        <v/>
      </c>
    </row>
    <row r="464" spans="2:2">
      <c r="B464" s="121" t="str">
        <f t="shared" si="7"/>
        <v/>
      </c>
    </row>
    <row r="465" spans="2:2">
      <c r="B465" s="121" t="str">
        <f t="shared" si="7"/>
        <v/>
      </c>
    </row>
    <row r="466" spans="2:2">
      <c r="B466" s="121" t="str">
        <f t="shared" si="7"/>
        <v/>
      </c>
    </row>
    <row r="467" spans="2:2">
      <c r="B467" s="121" t="str">
        <f t="shared" si="7"/>
        <v/>
      </c>
    </row>
    <row r="468" spans="2:2">
      <c r="B468" s="121" t="str">
        <f t="shared" si="7"/>
        <v/>
      </c>
    </row>
    <row r="469" spans="2:2">
      <c r="B469" s="121" t="str">
        <f t="shared" si="7"/>
        <v/>
      </c>
    </row>
    <row r="470" spans="2:2">
      <c r="B470" s="121" t="str">
        <f t="shared" si="7"/>
        <v/>
      </c>
    </row>
    <row r="471" spans="2:2">
      <c r="B471" s="121" t="str">
        <f t="shared" si="7"/>
        <v/>
      </c>
    </row>
    <row r="472" spans="2:2">
      <c r="B472" s="121" t="str">
        <f t="shared" si="7"/>
        <v/>
      </c>
    </row>
    <row r="473" spans="2:2">
      <c r="B473" s="121" t="str">
        <f t="shared" si="7"/>
        <v/>
      </c>
    </row>
    <row r="474" spans="2:2">
      <c r="B474" s="121" t="str">
        <f t="shared" si="7"/>
        <v/>
      </c>
    </row>
    <row r="475" spans="2:2">
      <c r="B475" s="121" t="str">
        <f t="shared" si="7"/>
        <v/>
      </c>
    </row>
    <row r="476" spans="2:2">
      <c r="B476" s="121" t="str">
        <f t="shared" si="7"/>
        <v/>
      </c>
    </row>
    <row r="477" spans="2:2">
      <c r="B477" s="121" t="str">
        <f t="shared" si="7"/>
        <v/>
      </c>
    </row>
    <row r="478" spans="2:2">
      <c r="B478" s="121" t="str">
        <f t="shared" si="7"/>
        <v/>
      </c>
    </row>
    <row r="479" spans="2:2">
      <c r="B479" s="121" t="str">
        <f t="shared" si="7"/>
        <v/>
      </c>
    </row>
    <row r="480" spans="2:2">
      <c r="B480" s="121" t="str">
        <f t="shared" si="7"/>
        <v/>
      </c>
    </row>
    <row r="481" spans="2:2">
      <c r="B481" s="121" t="str">
        <f t="shared" si="7"/>
        <v/>
      </c>
    </row>
    <row r="482" spans="2:2">
      <c r="B482" s="121" t="str">
        <f t="shared" si="7"/>
        <v/>
      </c>
    </row>
    <row r="483" spans="2:2">
      <c r="B483" s="121" t="str">
        <f t="shared" si="7"/>
        <v/>
      </c>
    </row>
    <row r="484" spans="2:2">
      <c r="B484" s="121" t="str">
        <f t="shared" si="7"/>
        <v/>
      </c>
    </row>
    <row r="485" spans="2:2">
      <c r="B485" s="121" t="str">
        <f t="shared" si="7"/>
        <v/>
      </c>
    </row>
    <row r="486" spans="2:2">
      <c r="B486" s="121" t="str">
        <f t="shared" si="7"/>
        <v/>
      </c>
    </row>
    <row r="487" spans="2:2">
      <c r="B487" s="121" t="str">
        <f t="shared" si="7"/>
        <v/>
      </c>
    </row>
    <row r="488" spans="2:2">
      <c r="B488" s="121" t="str">
        <f t="shared" si="7"/>
        <v/>
      </c>
    </row>
    <row r="489" spans="2:2">
      <c r="B489" s="121" t="str">
        <f t="shared" si="7"/>
        <v/>
      </c>
    </row>
    <row r="490" spans="2:2">
      <c r="B490" s="121" t="str">
        <f t="shared" si="7"/>
        <v/>
      </c>
    </row>
    <row r="491" spans="2:2">
      <c r="B491" s="121" t="str">
        <f t="shared" si="7"/>
        <v/>
      </c>
    </row>
    <row r="492" spans="2:2">
      <c r="B492" s="121" t="str">
        <f t="shared" si="7"/>
        <v/>
      </c>
    </row>
    <row r="493" spans="2:2">
      <c r="B493" s="121" t="str">
        <f t="shared" si="7"/>
        <v/>
      </c>
    </row>
    <row r="494" spans="2:2">
      <c r="B494" s="121" t="str">
        <f t="shared" si="7"/>
        <v/>
      </c>
    </row>
    <row r="495" spans="2:2">
      <c r="B495" s="121" t="str">
        <f t="shared" si="7"/>
        <v/>
      </c>
    </row>
    <row r="496" spans="2:2">
      <c r="B496" s="121" t="str">
        <f t="shared" si="7"/>
        <v/>
      </c>
    </row>
    <row r="497" spans="2:2">
      <c r="B497" s="121" t="str">
        <f t="shared" si="7"/>
        <v/>
      </c>
    </row>
    <row r="498" spans="2:2">
      <c r="B498" s="121" t="str">
        <f t="shared" si="7"/>
        <v/>
      </c>
    </row>
    <row r="499" spans="2:2">
      <c r="B499" s="121" t="str">
        <f t="shared" si="7"/>
        <v/>
      </c>
    </row>
    <row r="500" spans="2:2">
      <c r="B500" s="121" t="str">
        <f t="shared" si="7"/>
        <v/>
      </c>
    </row>
    <row r="501" spans="2:2">
      <c r="B501" s="121" t="str">
        <f t="shared" si="7"/>
        <v/>
      </c>
    </row>
    <row r="502" spans="2:2">
      <c r="B502" s="121" t="str">
        <f t="shared" si="7"/>
        <v/>
      </c>
    </row>
    <row r="503" spans="2:2">
      <c r="B503" s="121" t="str">
        <f t="shared" si="7"/>
        <v/>
      </c>
    </row>
    <row r="504" spans="2:2">
      <c r="B504" s="121" t="str">
        <f t="shared" si="7"/>
        <v/>
      </c>
    </row>
    <row r="505" spans="2:2">
      <c r="B505" s="121" t="str">
        <f t="shared" si="7"/>
        <v/>
      </c>
    </row>
    <row r="506" spans="2:2">
      <c r="B506" s="121" t="str">
        <f t="shared" si="7"/>
        <v/>
      </c>
    </row>
    <row r="507" spans="2:2">
      <c r="B507" s="121" t="str">
        <f t="shared" si="7"/>
        <v/>
      </c>
    </row>
    <row r="508" spans="2:2">
      <c r="B508" s="121" t="str">
        <f t="shared" si="7"/>
        <v/>
      </c>
    </row>
    <row r="509" spans="2:2">
      <c r="B509" s="121" t="str">
        <f t="shared" si="7"/>
        <v/>
      </c>
    </row>
    <row r="510" spans="2:2">
      <c r="B510" s="121" t="str">
        <f t="shared" si="7"/>
        <v/>
      </c>
    </row>
    <row r="511" spans="2:2">
      <c r="B511" s="121" t="str">
        <f t="shared" si="7"/>
        <v/>
      </c>
    </row>
    <row r="512" spans="2:2">
      <c r="B512" s="121" t="str">
        <f t="shared" si="7"/>
        <v/>
      </c>
    </row>
    <row r="513" spans="2:2">
      <c r="B513" s="121" t="str">
        <f t="shared" si="7"/>
        <v/>
      </c>
    </row>
    <row r="514" spans="2:2">
      <c r="B514" s="121" t="str">
        <f t="shared" si="7"/>
        <v/>
      </c>
    </row>
    <row r="515" spans="2:2">
      <c r="B515" s="121" t="str">
        <f t="shared" si="7"/>
        <v/>
      </c>
    </row>
    <row r="516" spans="2:2">
      <c r="B516" s="121" t="str">
        <f t="shared" si="7"/>
        <v/>
      </c>
    </row>
    <row r="517" spans="2:2">
      <c r="B517" s="121" t="str">
        <f t="shared" si="7"/>
        <v/>
      </c>
    </row>
    <row r="518" spans="2:2">
      <c r="B518" s="121" t="str">
        <f t="shared" si="7"/>
        <v/>
      </c>
    </row>
    <row r="519" spans="2:2">
      <c r="B519" s="121" t="str">
        <f t="shared" si="7"/>
        <v/>
      </c>
    </row>
    <row r="520" spans="2:2">
      <c r="B520" s="121" t="str">
        <f t="shared" ref="B520:B565" si="8">IF(E520="","",VLOOKUP(E520,chart_account_list,5,FALSE)&amp;"-"&amp;VLOOKUP(E520,chart_account_list,6,FALSE))</f>
        <v/>
      </c>
    </row>
    <row r="521" spans="2:2">
      <c r="B521" s="121" t="str">
        <f t="shared" si="8"/>
        <v/>
      </c>
    </row>
    <row r="522" spans="2:2">
      <c r="B522" s="121" t="str">
        <f t="shared" si="8"/>
        <v/>
      </c>
    </row>
    <row r="523" spans="2:2">
      <c r="B523" s="121" t="str">
        <f t="shared" si="8"/>
        <v/>
      </c>
    </row>
    <row r="524" spans="2:2">
      <c r="B524" s="121" t="str">
        <f t="shared" si="8"/>
        <v/>
      </c>
    </row>
    <row r="525" spans="2:2">
      <c r="B525" s="121" t="str">
        <f t="shared" si="8"/>
        <v/>
      </c>
    </row>
    <row r="526" spans="2:2">
      <c r="B526" s="121" t="str">
        <f t="shared" si="8"/>
        <v/>
      </c>
    </row>
    <row r="527" spans="2:2">
      <c r="B527" s="121" t="str">
        <f t="shared" si="8"/>
        <v/>
      </c>
    </row>
    <row r="528" spans="2:2">
      <c r="B528" s="121" t="str">
        <f t="shared" si="8"/>
        <v/>
      </c>
    </row>
    <row r="529" spans="2:2">
      <c r="B529" s="121" t="str">
        <f t="shared" si="8"/>
        <v/>
      </c>
    </row>
    <row r="530" spans="2:2">
      <c r="B530" s="121" t="str">
        <f t="shared" si="8"/>
        <v/>
      </c>
    </row>
    <row r="531" spans="2:2">
      <c r="B531" s="121" t="str">
        <f t="shared" si="8"/>
        <v/>
      </c>
    </row>
    <row r="532" spans="2:2">
      <c r="B532" s="121" t="str">
        <f t="shared" si="8"/>
        <v/>
      </c>
    </row>
    <row r="533" spans="2:2">
      <c r="B533" s="121" t="str">
        <f t="shared" si="8"/>
        <v/>
      </c>
    </row>
    <row r="534" spans="2:2">
      <c r="B534" s="121" t="str">
        <f t="shared" si="8"/>
        <v/>
      </c>
    </row>
    <row r="535" spans="2:2">
      <c r="B535" s="121" t="str">
        <f t="shared" si="8"/>
        <v/>
      </c>
    </row>
    <row r="536" spans="2:2">
      <c r="B536" s="121" t="str">
        <f t="shared" si="8"/>
        <v/>
      </c>
    </row>
    <row r="537" spans="2:2">
      <c r="B537" s="121" t="str">
        <f t="shared" si="8"/>
        <v/>
      </c>
    </row>
    <row r="538" spans="2:2">
      <c r="B538" s="121" t="str">
        <f t="shared" si="8"/>
        <v/>
      </c>
    </row>
    <row r="539" spans="2:2">
      <c r="B539" s="121" t="str">
        <f t="shared" si="8"/>
        <v/>
      </c>
    </row>
    <row r="540" spans="2:2">
      <c r="B540" s="121" t="str">
        <f t="shared" si="8"/>
        <v/>
      </c>
    </row>
    <row r="541" spans="2:2">
      <c r="B541" s="121" t="str">
        <f t="shared" si="8"/>
        <v/>
      </c>
    </row>
    <row r="542" spans="2:2">
      <c r="B542" s="121" t="str">
        <f t="shared" si="8"/>
        <v/>
      </c>
    </row>
    <row r="543" spans="2:2">
      <c r="B543" s="121" t="str">
        <f t="shared" si="8"/>
        <v/>
      </c>
    </row>
    <row r="544" spans="2:2">
      <c r="B544" s="121" t="str">
        <f t="shared" si="8"/>
        <v/>
      </c>
    </row>
    <row r="545" spans="2:2">
      <c r="B545" s="121" t="str">
        <f t="shared" si="8"/>
        <v/>
      </c>
    </row>
    <row r="546" spans="2:2">
      <c r="B546" s="121" t="str">
        <f t="shared" si="8"/>
        <v/>
      </c>
    </row>
    <row r="547" spans="2:2">
      <c r="B547" s="121" t="str">
        <f t="shared" si="8"/>
        <v/>
      </c>
    </row>
    <row r="548" spans="2:2">
      <c r="B548" s="121" t="str">
        <f t="shared" si="8"/>
        <v/>
      </c>
    </row>
    <row r="549" spans="2:2">
      <c r="B549" s="121" t="str">
        <f t="shared" si="8"/>
        <v/>
      </c>
    </row>
    <row r="550" spans="2:2">
      <c r="B550" s="121" t="str">
        <f t="shared" si="8"/>
        <v/>
      </c>
    </row>
    <row r="551" spans="2:2">
      <c r="B551" s="121" t="str">
        <f t="shared" si="8"/>
        <v/>
      </c>
    </row>
    <row r="552" spans="2:2">
      <c r="B552" s="121" t="str">
        <f t="shared" si="8"/>
        <v/>
      </c>
    </row>
    <row r="553" spans="2:2">
      <c r="B553" s="121" t="str">
        <f t="shared" si="8"/>
        <v/>
      </c>
    </row>
    <row r="554" spans="2:2">
      <c r="B554" s="121" t="str">
        <f t="shared" si="8"/>
        <v/>
      </c>
    </row>
    <row r="555" spans="2:2">
      <c r="B555" s="121" t="str">
        <f t="shared" si="8"/>
        <v/>
      </c>
    </row>
    <row r="556" spans="2:2">
      <c r="B556" s="121" t="str">
        <f t="shared" si="8"/>
        <v/>
      </c>
    </row>
    <row r="557" spans="2:2">
      <c r="B557" s="121" t="str">
        <f t="shared" si="8"/>
        <v/>
      </c>
    </row>
    <row r="558" spans="2:2">
      <c r="B558" s="121" t="str">
        <f t="shared" si="8"/>
        <v/>
      </c>
    </row>
    <row r="559" spans="2:2">
      <c r="B559" s="121" t="str">
        <f t="shared" si="8"/>
        <v/>
      </c>
    </row>
    <row r="560" spans="2:2">
      <c r="B560" s="121" t="str">
        <f t="shared" si="8"/>
        <v/>
      </c>
    </row>
    <row r="561" spans="2:2">
      <c r="B561" s="121" t="str">
        <f t="shared" si="8"/>
        <v/>
      </c>
    </row>
    <row r="562" spans="2:2">
      <c r="B562" s="121" t="str">
        <f t="shared" si="8"/>
        <v/>
      </c>
    </row>
    <row r="563" spans="2:2">
      <c r="B563" s="121" t="str">
        <f t="shared" si="8"/>
        <v/>
      </c>
    </row>
    <row r="564" spans="2:2">
      <c r="B564" s="121" t="str">
        <f t="shared" si="8"/>
        <v/>
      </c>
    </row>
    <row r="565" spans="2:2">
      <c r="B565" s="121" t="str">
        <f t="shared" si="8"/>
        <v/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587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247650</xdr:colOff>
                    <xdr:row>3</xdr:row>
                    <xdr:rowOff>9525</xdr:rowOff>
                  </from>
                  <to>
                    <xdr:col>1</xdr:col>
                    <xdr:colOff>1457325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8" activePane="bottomLeft" state="frozen"/>
      <selection pane="bottomLeft" activeCell="E13" sqref="E13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986" t="s">
        <v>59</v>
      </c>
      <c r="D6" s="981" t="s">
        <v>288</v>
      </c>
      <c r="E6" s="981" t="s">
        <v>410</v>
      </c>
      <c r="F6" s="981" t="s">
        <v>264</v>
      </c>
    </row>
    <row r="7" spans="3:7" ht="18.75" customHeight="1">
      <c r="C7" s="987" t="s">
        <v>1901</v>
      </c>
      <c r="D7" s="978" t="s">
        <v>13</v>
      </c>
      <c r="E7" s="978" t="s">
        <v>425</v>
      </c>
      <c r="F7" s="978" t="s">
        <v>2023</v>
      </c>
    </row>
    <row r="8" spans="3:7" ht="23.25">
      <c r="C8" s="977">
        <v>1</v>
      </c>
      <c r="D8" s="460" t="s">
        <v>2043</v>
      </c>
      <c r="E8" s="435" t="s">
        <v>2044</v>
      </c>
      <c r="F8" s="977">
        <v>1</v>
      </c>
      <c r="G8" s="128" t="str">
        <f>IF(AND(C8&lt;&gt;"",D8&lt;&gt;""),TEXT(C8,"000")&amp;"."&amp;D8,"")</f>
        <v>001.Cash and Bank</v>
      </c>
    </row>
    <row r="9" spans="3:7" ht="23.25">
      <c r="C9" s="977">
        <v>2</v>
      </c>
      <c r="D9" s="460" t="s">
        <v>747</v>
      </c>
      <c r="E9" s="435" t="s">
        <v>1123</v>
      </c>
      <c r="F9" s="977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977">
        <v>3</v>
      </c>
      <c r="D10" s="460" t="s">
        <v>2045</v>
      </c>
      <c r="E10" s="435" t="s">
        <v>2046</v>
      </c>
      <c r="F10" s="977">
        <v>1</v>
      </c>
      <c r="G10" s="128" t="str">
        <f t="shared" si="0"/>
        <v>003.Other Current Asset</v>
      </c>
    </row>
    <row r="11" spans="3:7" ht="23.25">
      <c r="C11" s="977">
        <v>4</v>
      </c>
      <c r="D11" s="460" t="s">
        <v>2003</v>
      </c>
      <c r="E11" s="435" t="s">
        <v>2047</v>
      </c>
      <c r="F11" s="977">
        <v>1</v>
      </c>
      <c r="G11" s="128" t="str">
        <f t="shared" si="0"/>
        <v>004.Fixed Asset</v>
      </c>
    </row>
    <row r="12" spans="3:7" ht="23.25">
      <c r="C12" s="977">
        <v>5</v>
      </c>
      <c r="D12" s="460" t="s">
        <v>2048</v>
      </c>
      <c r="E12" s="435" t="s">
        <v>2049</v>
      </c>
      <c r="F12" s="977">
        <v>1</v>
      </c>
      <c r="G12" s="128" t="str">
        <f t="shared" si="0"/>
        <v>005.Other Asset</v>
      </c>
    </row>
    <row r="13" spans="3:7" ht="23.25">
      <c r="C13" s="977">
        <v>6</v>
      </c>
      <c r="D13" s="460" t="s">
        <v>743</v>
      </c>
      <c r="E13" s="435" t="s">
        <v>2050</v>
      </c>
      <c r="F13" s="977">
        <v>1</v>
      </c>
      <c r="G13" s="128" t="str">
        <f t="shared" si="0"/>
        <v>006.Accounts Payable</v>
      </c>
    </row>
    <row r="14" spans="3:7" ht="23.25">
      <c r="C14" s="977">
        <v>7</v>
      </c>
      <c r="D14" s="460" t="s">
        <v>2051</v>
      </c>
      <c r="E14" s="435" t="s">
        <v>2052</v>
      </c>
      <c r="F14" s="977">
        <v>1</v>
      </c>
      <c r="G14" s="128" t="str">
        <f t="shared" si="0"/>
        <v>007.Credit Card</v>
      </c>
    </row>
    <row r="15" spans="3:7" ht="23.25">
      <c r="C15" s="977">
        <v>8</v>
      </c>
      <c r="D15" s="460" t="s">
        <v>2053</v>
      </c>
      <c r="E15" s="435" t="s">
        <v>2054</v>
      </c>
      <c r="F15" s="977">
        <v>1</v>
      </c>
      <c r="G15" s="128" t="str">
        <f t="shared" si="0"/>
        <v>008.Other Current Liability</v>
      </c>
    </row>
    <row r="16" spans="3:7" ht="23.25">
      <c r="C16" s="977">
        <v>9</v>
      </c>
      <c r="D16" s="460" t="s">
        <v>2055</v>
      </c>
      <c r="E16" s="435" t="s">
        <v>2056</v>
      </c>
      <c r="F16" s="977">
        <v>1</v>
      </c>
      <c r="G16" s="128" t="str">
        <f t="shared" si="0"/>
        <v>009.Long Term Liability</v>
      </c>
    </row>
    <row r="17" spans="3:7" ht="23.25">
      <c r="C17" s="977">
        <v>10</v>
      </c>
      <c r="D17" s="460" t="s">
        <v>2057</v>
      </c>
      <c r="E17" s="435" t="s">
        <v>2058</v>
      </c>
      <c r="F17" s="977">
        <v>1</v>
      </c>
      <c r="G17" s="128" t="str">
        <f t="shared" si="0"/>
        <v>010.Equity</v>
      </c>
    </row>
    <row r="18" spans="3:7" ht="23.25">
      <c r="C18" s="977">
        <v>11</v>
      </c>
      <c r="D18" s="460" t="s">
        <v>2059</v>
      </c>
      <c r="E18" s="435" t="s">
        <v>2060</v>
      </c>
      <c r="F18" s="977">
        <v>1</v>
      </c>
      <c r="G18" s="128" t="str">
        <f t="shared" si="0"/>
        <v>011.Income</v>
      </c>
    </row>
    <row r="19" spans="3:7" ht="23.25">
      <c r="C19" s="977">
        <v>12</v>
      </c>
      <c r="D19" s="460" t="s">
        <v>2061</v>
      </c>
      <c r="E19" s="435" t="s">
        <v>2062</v>
      </c>
      <c r="F19" s="977">
        <v>1</v>
      </c>
      <c r="G19" s="128" t="str">
        <f t="shared" si="0"/>
        <v>012.Cost of Goods Sold</v>
      </c>
    </row>
    <row r="20" spans="3:7" ht="23.25">
      <c r="C20" s="977">
        <v>13</v>
      </c>
      <c r="D20" s="460" t="s">
        <v>2063</v>
      </c>
      <c r="E20" s="435" t="s">
        <v>2064</v>
      </c>
      <c r="F20" s="977">
        <v>1</v>
      </c>
      <c r="G20" s="128" t="str">
        <f t="shared" si="0"/>
        <v>013.Expense</v>
      </c>
    </row>
    <row r="21" spans="3:7" ht="23.25">
      <c r="C21" s="977">
        <v>14</v>
      </c>
      <c r="D21" s="460" t="s">
        <v>2065</v>
      </c>
      <c r="E21" s="435" t="s">
        <v>2066</v>
      </c>
      <c r="F21" s="977">
        <v>1</v>
      </c>
      <c r="G21" s="128" t="str">
        <f t="shared" si="0"/>
        <v>014.Other Income</v>
      </c>
    </row>
    <row r="22" spans="3:7" ht="23.25">
      <c r="C22" s="977">
        <v>15</v>
      </c>
      <c r="D22" s="460" t="s">
        <v>2067</v>
      </c>
      <c r="E22" s="435" t="s">
        <v>2068</v>
      </c>
      <c r="F22" s="977">
        <v>1</v>
      </c>
      <c r="G22" s="128" t="str">
        <f t="shared" si="0"/>
        <v>015.Other Expense</v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5890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3</xdr:row>
                    <xdr:rowOff>171450</xdr:rowOff>
                  </from>
                  <to>
                    <xdr:col>3</xdr:col>
                    <xdr:colOff>504825</xdr:colOff>
                    <xdr:row>4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80" zoomScaleNormal="80" workbookViewId="0">
      <pane ySplit="7" topLeftCell="A9" activePane="bottomLeft" state="frozen"/>
      <selection pane="bottomLeft" activeCell="D17" sqref="D17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6" spans="3:9" ht="30" customHeight="1">
      <c r="C6" s="988" t="s">
        <v>59</v>
      </c>
      <c r="D6" s="988" t="s">
        <v>2159</v>
      </c>
      <c r="E6" s="882" t="s">
        <v>288</v>
      </c>
      <c r="F6" s="882" t="s">
        <v>410</v>
      </c>
      <c r="G6" s="882" t="s">
        <v>2160</v>
      </c>
      <c r="H6" s="882" t="s">
        <v>264</v>
      </c>
    </row>
    <row r="7" spans="3:9" ht="22.5" customHeight="1">
      <c r="C7" s="987" t="s">
        <v>328</v>
      </c>
      <c r="D7" s="987" t="s">
        <v>2155</v>
      </c>
      <c r="E7" s="978" t="s">
        <v>13</v>
      </c>
      <c r="F7" s="978" t="s">
        <v>137</v>
      </c>
      <c r="G7" s="978" t="s">
        <v>2158</v>
      </c>
      <c r="H7" s="978" t="s">
        <v>2023</v>
      </c>
    </row>
    <row r="8" spans="3:9" ht="23.25">
      <c r="C8" s="283" t="s">
        <v>62</v>
      </c>
      <c r="D8" s="283">
        <v>1</v>
      </c>
      <c r="E8" s="286" t="s">
        <v>2069</v>
      </c>
      <c r="F8" s="285" t="s">
        <v>2070</v>
      </c>
      <c r="G8" s="283">
        <v>0</v>
      </c>
      <c r="H8" s="283">
        <v>1</v>
      </c>
      <c r="I8" s="128" t="str">
        <f>IF(AND(C8&lt;&gt;"",E8&lt;&gt;""),TEXT(C8,"000")&amp;"."&amp;E8,"")</f>
        <v>001.Cash at Bank</v>
      </c>
    </row>
    <row r="9" spans="3:9" ht="23.25">
      <c r="C9" s="283" t="s">
        <v>65</v>
      </c>
      <c r="D9" s="283">
        <v>1</v>
      </c>
      <c r="E9" s="286" t="s">
        <v>2071</v>
      </c>
      <c r="F9" s="285" t="s">
        <v>2072</v>
      </c>
      <c r="G9" s="283">
        <v>0</v>
      </c>
      <c r="H9" s="283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283" t="s">
        <v>67</v>
      </c>
      <c r="D10" s="283">
        <v>2</v>
      </c>
      <c r="E10" s="286" t="s">
        <v>2073</v>
      </c>
      <c r="F10" s="285" t="s">
        <v>1123</v>
      </c>
      <c r="G10" s="283">
        <v>0</v>
      </c>
      <c r="H10" s="283">
        <v>1</v>
      </c>
      <c r="I10" s="128" t="str">
        <f t="shared" si="0"/>
        <v>003.Account Receivable</v>
      </c>
    </row>
    <row r="11" spans="3:9" ht="23.25">
      <c r="C11" s="283" t="s">
        <v>69</v>
      </c>
      <c r="D11" s="283">
        <v>2</v>
      </c>
      <c r="E11" s="286" t="s">
        <v>2074</v>
      </c>
      <c r="F11" s="285" t="s">
        <v>2075</v>
      </c>
      <c r="G11" s="283">
        <v>0</v>
      </c>
      <c r="H11" s="283">
        <v>1</v>
      </c>
      <c r="I11" s="128" t="str">
        <f t="shared" si="0"/>
        <v>004.Notes Receivable</v>
      </c>
    </row>
    <row r="12" spans="3:9" ht="23.25">
      <c r="C12" s="283" t="s">
        <v>70</v>
      </c>
      <c r="D12" s="283">
        <v>3</v>
      </c>
      <c r="E12" s="286" t="s">
        <v>2076</v>
      </c>
      <c r="F12" s="285" t="s">
        <v>2046</v>
      </c>
      <c r="G12" s="283">
        <v>0</v>
      </c>
      <c r="H12" s="283">
        <v>1</v>
      </c>
      <c r="I12" s="128" t="str">
        <f t="shared" si="0"/>
        <v>005.Other current assets</v>
      </c>
    </row>
    <row r="13" spans="3:9" ht="23.25">
      <c r="C13" s="283" t="s">
        <v>71</v>
      </c>
      <c r="D13" s="283">
        <v>3</v>
      </c>
      <c r="E13" s="286" t="s">
        <v>290</v>
      </c>
      <c r="F13" s="285" t="s">
        <v>1114</v>
      </c>
      <c r="G13" s="283">
        <v>0</v>
      </c>
      <c r="H13" s="283">
        <v>1</v>
      </c>
      <c r="I13" s="128" t="str">
        <f t="shared" si="0"/>
        <v>006.Inventory</v>
      </c>
    </row>
    <row r="14" spans="3:9" ht="23.25">
      <c r="C14" s="283" t="s">
        <v>1769</v>
      </c>
      <c r="D14" s="283">
        <v>3</v>
      </c>
      <c r="E14" s="286" t="s">
        <v>2077</v>
      </c>
      <c r="F14" s="285" t="s">
        <v>2078</v>
      </c>
      <c r="G14" s="283">
        <v>0</v>
      </c>
      <c r="H14" s="283">
        <v>1</v>
      </c>
      <c r="I14" s="128" t="str">
        <f t="shared" si="0"/>
        <v>007.Prepaid Expense</v>
      </c>
    </row>
    <row r="15" spans="3:9" ht="23.25">
      <c r="C15" s="283" t="s">
        <v>1770</v>
      </c>
      <c r="D15" s="283">
        <v>4</v>
      </c>
      <c r="E15" s="286" t="s">
        <v>2079</v>
      </c>
      <c r="F15" s="285" t="s">
        <v>2047</v>
      </c>
      <c r="G15" s="283">
        <v>0</v>
      </c>
      <c r="H15" s="283">
        <v>1</v>
      </c>
      <c r="I15" s="128" t="str">
        <f t="shared" si="0"/>
        <v>008.Fixed assets</v>
      </c>
    </row>
    <row r="16" spans="3:9" ht="23.25">
      <c r="C16" s="283" t="s">
        <v>1771</v>
      </c>
      <c r="D16" s="283">
        <v>5</v>
      </c>
      <c r="E16" s="286" t="s">
        <v>2080</v>
      </c>
      <c r="F16" s="285" t="s">
        <v>2049</v>
      </c>
      <c r="G16" s="283">
        <v>0</v>
      </c>
      <c r="H16" s="283">
        <v>1</v>
      </c>
      <c r="I16" s="128" t="str">
        <f t="shared" si="0"/>
        <v>009.Other asset</v>
      </c>
    </row>
    <row r="17" spans="3:9" ht="23.25">
      <c r="C17" s="283" t="s">
        <v>33</v>
      </c>
      <c r="D17" s="283">
        <v>6</v>
      </c>
      <c r="E17" s="286" t="s">
        <v>2081</v>
      </c>
      <c r="F17" s="285" t="s">
        <v>2082</v>
      </c>
      <c r="G17" s="283">
        <v>0</v>
      </c>
      <c r="H17" s="283">
        <v>1</v>
      </c>
      <c r="I17" s="128" t="str">
        <f t="shared" si="0"/>
        <v>010.Account payables</v>
      </c>
    </row>
    <row r="18" spans="3:9" ht="23.25">
      <c r="C18" s="283" t="s">
        <v>36</v>
      </c>
      <c r="D18" s="283">
        <v>8</v>
      </c>
      <c r="E18" s="286" t="s">
        <v>2083</v>
      </c>
      <c r="F18" s="285" t="s">
        <v>2054</v>
      </c>
      <c r="G18" s="283">
        <v>0</v>
      </c>
      <c r="H18" s="283">
        <v>1</v>
      </c>
      <c r="I18" s="128" t="str">
        <f t="shared" si="0"/>
        <v>011.Other Current Liabilities</v>
      </c>
    </row>
    <row r="19" spans="3:9" ht="23.25">
      <c r="C19" s="283" t="s">
        <v>48</v>
      </c>
      <c r="D19" s="283">
        <v>8</v>
      </c>
      <c r="E19" s="286" t="s">
        <v>2084</v>
      </c>
      <c r="F19" s="285" t="s">
        <v>2085</v>
      </c>
      <c r="G19" s="283">
        <v>0</v>
      </c>
      <c r="H19" s="283">
        <v>1</v>
      </c>
      <c r="I19" s="128" t="str">
        <f t="shared" si="0"/>
        <v>012.Current liaiblities</v>
      </c>
    </row>
    <row r="20" spans="3:9" ht="23.25">
      <c r="C20" s="283" t="s">
        <v>50</v>
      </c>
      <c r="D20" s="283">
        <v>9</v>
      </c>
      <c r="E20" s="286" t="s">
        <v>2086</v>
      </c>
      <c r="F20" s="285" t="s">
        <v>2056</v>
      </c>
      <c r="G20" s="283">
        <v>0</v>
      </c>
      <c r="H20" s="283">
        <v>1</v>
      </c>
      <c r="I20" s="128" t="str">
        <f t="shared" si="0"/>
        <v>013.Long-term liabilities</v>
      </c>
    </row>
    <row r="21" spans="3:9" ht="23.25">
      <c r="C21" s="283" t="s">
        <v>51</v>
      </c>
      <c r="D21" s="283">
        <v>10</v>
      </c>
      <c r="E21" s="286" t="s">
        <v>2087</v>
      </c>
      <c r="F21" s="285" t="s">
        <v>2088</v>
      </c>
      <c r="G21" s="283">
        <v>0</v>
      </c>
      <c r="H21" s="283">
        <v>1</v>
      </c>
      <c r="I21" s="128" t="str">
        <f t="shared" si="0"/>
        <v>014.Share Capital</v>
      </c>
    </row>
    <row r="22" spans="3:9" ht="23.25">
      <c r="C22" s="283" t="s">
        <v>52</v>
      </c>
      <c r="D22" s="283">
        <v>10</v>
      </c>
      <c r="E22" s="286" t="s">
        <v>2089</v>
      </c>
      <c r="F22" s="285" t="s">
        <v>2090</v>
      </c>
      <c r="G22" s="283">
        <v>0</v>
      </c>
      <c r="H22" s="283">
        <v>1</v>
      </c>
      <c r="I22" s="128" t="str">
        <f t="shared" si="0"/>
        <v>015.Retained Earning</v>
      </c>
    </row>
    <row r="23" spans="3:9" ht="23.25">
      <c r="C23" s="283" t="s">
        <v>53</v>
      </c>
      <c r="D23" s="283">
        <v>10</v>
      </c>
      <c r="E23" s="286" t="s">
        <v>2057</v>
      </c>
      <c r="F23" s="285" t="s">
        <v>2058</v>
      </c>
      <c r="G23" s="283">
        <v>0</v>
      </c>
      <c r="H23" s="283">
        <v>1</v>
      </c>
      <c r="I23" s="128" t="str">
        <f t="shared" si="0"/>
        <v>016.Equity</v>
      </c>
    </row>
    <row r="24" spans="3:9" ht="23.25">
      <c r="C24" s="283" t="s">
        <v>54</v>
      </c>
      <c r="D24" s="283">
        <v>11</v>
      </c>
      <c r="E24" s="286" t="s">
        <v>2059</v>
      </c>
      <c r="F24" s="285" t="s">
        <v>2091</v>
      </c>
      <c r="G24" s="283">
        <v>0</v>
      </c>
      <c r="H24" s="283">
        <v>1</v>
      </c>
      <c r="I24" s="128" t="str">
        <f t="shared" si="0"/>
        <v>017.Income</v>
      </c>
    </row>
    <row r="25" spans="3:9" ht="23.25">
      <c r="C25" s="283" t="s">
        <v>55</v>
      </c>
      <c r="D25" s="283">
        <v>11</v>
      </c>
      <c r="E25" s="286" t="s">
        <v>2092</v>
      </c>
      <c r="F25" s="285" t="s">
        <v>2093</v>
      </c>
      <c r="G25" s="283">
        <v>0</v>
      </c>
      <c r="H25" s="283">
        <v>1</v>
      </c>
      <c r="I25" s="128" t="str">
        <f t="shared" si="0"/>
        <v>018.Sale Discounts</v>
      </c>
    </row>
    <row r="26" spans="3:9" ht="23.25">
      <c r="C26" s="283" t="s">
        <v>56</v>
      </c>
      <c r="D26" s="283">
        <v>12</v>
      </c>
      <c r="E26" s="286" t="s">
        <v>2061</v>
      </c>
      <c r="F26" s="285" t="s">
        <v>2062</v>
      </c>
      <c r="G26" s="283">
        <v>0</v>
      </c>
      <c r="H26" s="283">
        <v>1</v>
      </c>
      <c r="I26" s="128" t="str">
        <f t="shared" si="0"/>
        <v>019.Cost of Goods Sold</v>
      </c>
    </row>
    <row r="27" spans="3:9" ht="23.25">
      <c r="C27" s="283" t="s">
        <v>57</v>
      </c>
      <c r="D27" s="283">
        <v>12</v>
      </c>
      <c r="E27" s="286" t="s">
        <v>2094</v>
      </c>
      <c r="F27" s="285" t="s">
        <v>2095</v>
      </c>
      <c r="G27" s="283">
        <v>0</v>
      </c>
      <c r="H27" s="283">
        <v>1</v>
      </c>
      <c r="I27" s="128" t="str">
        <f t="shared" si="0"/>
        <v>020.Cost of Sale</v>
      </c>
    </row>
    <row r="28" spans="3:9" ht="23.25">
      <c r="C28" s="283" t="s">
        <v>2254</v>
      </c>
      <c r="D28" s="283">
        <v>13</v>
      </c>
      <c r="E28" s="286" t="s">
        <v>2096</v>
      </c>
      <c r="F28" s="285" t="s">
        <v>2097</v>
      </c>
      <c r="G28" s="283">
        <v>0</v>
      </c>
      <c r="H28" s="283">
        <v>1</v>
      </c>
      <c r="I28" s="128" t="str">
        <f t="shared" si="0"/>
        <v>021.Operation Expenses</v>
      </c>
    </row>
    <row r="29" spans="3:9" ht="23.25">
      <c r="C29" s="283" t="s">
        <v>2255</v>
      </c>
      <c r="D29" s="283">
        <v>13</v>
      </c>
      <c r="E29" s="286" t="s">
        <v>2098</v>
      </c>
      <c r="F29" s="285" t="s">
        <v>2099</v>
      </c>
      <c r="G29" s="283">
        <v>0</v>
      </c>
      <c r="H29" s="283">
        <v>1</v>
      </c>
      <c r="I29" s="128" t="str">
        <f t="shared" si="0"/>
        <v>022.Utilities Expense</v>
      </c>
    </row>
    <row r="30" spans="3:9" ht="23.25">
      <c r="C30" s="283" t="s">
        <v>2256</v>
      </c>
      <c r="D30" s="283">
        <v>13</v>
      </c>
      <c r="E30" s="286" t="s">
        <v>2100</v>
      </c>
      <c r="F30" s="285" t="s">
        <v>2101</v>
      </c>
      <c r="G30" s="283">
        <v>0</v>
      </c>
      <c r="H30" s="283">
        <v>1</v>
      </c>
      <c r="I30" s="128" t="str">
        <f t="shared" si="0"/>
        <v>023.Repairs Expense</v>
      </c>
    </row>
    <row r="31" spans="3:9" ht="23.25">
      <c r="C31" s="283" t="s">
        <v>2257</v>
      </c>
      <c r="D31" s="283">
        <v>13</v>
      </c>
      <c r="E31" s="286" t="s">
        <v>2102</v>
      </c>
      <c r="F31" s="285" t="s">
        <v>2103</v>
      </c>
      <c r="G31" s="283">
        <v>0</v>
      </c>
      <c r="H31" s="283">
        <v>1</v>
      </c>
      <c r="I31" s="128" t="str">
        <f t="shared" si="0"/>
        <v>024.Purchase Discounts</v>
      </c>
    </row>
    <row r="32" spans="3:9" ht="23.25">
      <c r="C32" s="283" t="s">
        <v>68</v>
      </c>
      <c r="D32" s="283">
        <v>14</v>
      </c>
      <c r="E32" s="286" t="s">
        <v>2104</v>
      </c>
      <c r="F32" s="285" t="s">
        <v>2105</v>
      </c>
      <c r="G32" s="283">
        <v>0</v>
      </c>
      <c r="H32" s="283">
        <v>1</v>
      </c>
      <c r="I32" s="128" t="str">
        <f t="shared" si="0"/>
        <v>025.Other income</v>
      </c>
    </row>
    <row r="33" spans="3:9" ht="23.25">
      <c r="C33" s="283" t="s">
        <v>2258</v>
      </c>
      <c r="D33" s="283">
        <v>15</v>
      </c>
      <c r="E33" s="286" t="s">
        <v>2106</v>
      </c>
      <c r="F33" s="285" t="s">
        <v>2107</v>
      </c>
      <c r="G33" s="283">
        <v>0</v>
      </c>
      <c r="H33" s="283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602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133350</xdr:colOff>
                    <xdr:row>2</xdr:row>
                    <xdr:rowOff>47625</xdr:rowOff>
                  </from>
                  <to>
                    <xdr:col>3</xdr:col>
                    <xdr:colOff>542925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80" zoomScaleNormal="80" workbookViewId="0">
      <pane ySplit="7" topLeftCell="A8" activePane="bottomLeft" state="frozen"/>
      <selection pane="bottomLeft" activeCell="H8" sqref="H8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989" t="s">
        <v>59</v>
      </c>
      <c r="D6" s="989" t="s">
        <v>2161</v>
      </c>
      <c r="E6" s="989" t="s">
        <v>2159</v>
      </c>
      <c r="F6" s="989" t="s">
        <v>2162</v>
      </c>
      <c r="G6" s="980" t="s">
        <v>2163</v>
      </c>
      <c r="H6" s="980" t="s">
        <v>2164</v>
      </c>
      <c r="I6" s="980" t="s">
        <v>2165</v>
      </c>
      <c r="J6" s="980" t="s">
        <v>88</v>
      </c>
      <c r="K6" s="980" t="s">
        <v>264</v>
      </c>
    </row>
    <row r="7" spans="3:12" ht="21.75" customHeight="1">
      <c r="C7" s="987" t="s">
        <v>1901</v>
      </c>
      <c r="D7" s="987" t="s">
        <v>2154</v>
      </c>
      <c r="E7" s="987" t="s">
        <v>2155</v>
      </c>
      <c r="F7" s="987" t="s">
        <v>2156</v>
      </c>
      <c r="G7" s="978" t="s">
        <v>734</v>
      </c>
      <c r="H7" s="978" t="s">
        <v>735</v>
      </c>
      <c r="I7" s="978" t="s">
        <v>2157</v>
      </c>
      <c r="J7" s="978" t="s">
        <v>104</v>
      </c>
      <c r="K7" s="978" t="s">
        <v>2023</v>
      </c>
    </row>
    <row r="8" spans="3:12" ht="23.25">
      <c r="C8" s="977">
        <v>1</v>
      </c>
      <c r="D8" s="977">
        <f>F8*1</f>
        <v>1</v>
      </c>
      <c r="E8" s="977">
        <v>1</v>
      </c>
      <c r="F8" s="977">
        <v>1</v>
      </c>
      <c r="G8" s="977">
        <v>1110</v>
      </c>
      <c r="H8" s="460" t="s">
        <v>2043</v>
      </c>
      <c r="I8" s="435" t="s">
        <v>2044</v>
      </c>
      <c r="J8" s="460"/>
      <c r="K8" s="977">
        <v>1</v>
      </c>
      <c r="L8" s="128" t="str">
        <f>IF(AND(C8&lt;&gt;"",H8&lt;&gt;""),TEXT(C8,"000")&amp;"."&amp;H8,"")</f>
        <v>001.Cash and Bank</v>
      </c>
    </row>
    <row r="9" spans="3:12" ht="23.25">
      <c r="C9" s="977">
        <v>2</v>
      </c>
      <c r="D9" s="977">
        <f t="shared" ref="D9:D30" si="0">F9*1</f>
        <v>3</v>
      </c>
      <c r="E9" s="977">
        <v>2</v>
      </c>
      <c r="F9" s="977">
        <v>3</v>
      </c>
      <c r="G9" s="977">
        <v>1120</v>
      </c>
      <c r="H9" s="460" t="s">
        <v>747</v>
      </c>
      <c r="I9" s="435" t="s">
        <v>1123</v>
      </c>
      <c r="J9" s="460"/>
      <c r="K9" s="977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977">
        <v>3</v>
      </c>
      <c r="D10" s="977">
        <f t="shared" si="0"/>
        <v>6</v>
      </c>
      <c r="E10" s="977">
        <v>3</v>
      </c>
      <c r="F10" s="977">
        <v>6</v>
      </c>
      <c r="G10" s="977">
        <v>1130</v>
      </c>
      <c r="H10" s="460" t="s">
        <v>290</v>
      </c>
      <c r="I10" s="435" t="s">
        <v>1114</v>
      </c>
      <c r="J10" s="460"/>
      <c r="K10" s="977">
        <v>1</v>
      </c>
      <c r="L10" s="128" t="str">
        <f t="shared" si="1"/>
        <v>003.Inventory</v>
      </c>
    </row>
    <row r="11" spans="3:12" ht="23.25">
      <c r="C11" s="977">
        <v>4</v>
      </c>
      <c r="D11" s="977">
        <f t="shared" si="0"/>
        <v>8</v>
      </c>
      <c r="E11" s="977">
        <v>4</v>
      </c>
      <c r="F11" s="977">
        <v>8</v>
      </c>
      <c r="G11" s="977">
        <v>1210</v>
      </c>
      <c r="H11" s="460" t="s">
        <v>2108</v>
      </c>
      <c r="I11" s="435" t="s">
        <v>2109</v>
      </c>
      <c r="J11" s="460"/>
      <c r="K11" s="977">
        <v>1</v>
      </c>
      <c r="L11" s="128" t="str">
        <f t="shared" si="1"/>
        <v>004.Furniture and Fixtures</v>
      </c>
    </row>
    <row r="12" spans="3:12" ht="23.25">
      <c r="C12" s="977">
        <v>5</v>
      </c>
      <c r="D12" s="977">
        <f t="shared" si="0"/>
        <v>9</v>
      </c>
      <c r="E12" s="977">
        <v>5</v>
      </c>
      <c r="F12" s="977">
        <v>9</v>
      </c>
      <c r="G12" s="977">
        <v>1310</v>
      </c>
      <c r="H12" s="460" t="s">
        <v>2110</v>
      </c>
      <c r="I12" s="435" t="s">
        <v>2049</v>
      </c>
      <c r="J12" s="460"/>
      <c r="K12" s="977">
        <v>1</v>
      </c>
      <c r="L12" s="128" t="str">
        <f t="shared" si="1"/>
        <v>005.Other assets</v>
      </c>
    </row>
    <row r="13" spans="3:12" ht="23.25">
      <c r="C13" s="977">
        <v>6</v>
      </c>
      <c r="D13" s="977">
        <f t="shared" si="0"/>
        <v>10</v>
      </c>
      <c r="E13" s="977">
        <v>6</v>
      </c>
      <c r="F13" s="977">
        <v>10</v>
      </c>
      <c r="G13" s="977">
        <v>2120</v>
      </c>
      <c r="H13" s="460" t="s">
        <v>743</v>
      </c>
      <c r="I13" s="435" t="s">
        <v>2050</v>
      </c>
      <c r="J13" s="460"/>
      <c r="K13" s="977">
        <v>1</v>
      </c>
      <c r="L13" s="128" t="str">
        <f t="shared" si="1"/>
        <v>006.Accounts Payable</v>
      </c>
    </row>
    <row r="14" spans="3:12" ht="23.25">
      <c r="C14" s="977">
        <v>7</v>
      </c>
      <c r="D14" s="977">
        <f t="shared" si="0"/>
        <v>11</v>
      </c>
      <c r="E14" s="977">
        <v>8</v>
      </c>
      <c r="F14" s="977">
        <v>11</v>
      </c>
      <c r="G14" s="977">
        <v>2130</v>
      </c>
      <c r="H14" s="460" t="s">
        <v>2111</v>
      </c>
      <c r="I14" s="435" t="s">
        <v>2112</v>
      </c>
      <c r="J14" s="460"/>
      <c r="K14" s="977">
        <v>1</v>
      </c>
      <c r="L14" s="128" t="str">
        <f t="shared" si="1"/>
        <v>007.Liability</v>
      </c>
    </row>
    <row r="15" spans="3:12" ht="23.25">
      <c r="C15" s="977">
        <v>8</v>
      </c>
      <c r="D15" s="977">
        <f t="shared" si="0"/>
        <v>13</v>
      </c>
      <c r="E15" s="977">
        <v>9</v>
      </c>
      <c r="F15" s="977">
        <v>13</v>
      </c>
      <c r="G15" s="977">
        <v>2210</v>
      </c>
      <c r="H15" s="460" t="s">
        <v>2113</v>
      </c>
      <c r="I15" s="435" t="s">
        <v>2056</v>
      </c>
      <c r="J15" s="460"/>
      <c r="K15" s="977">
        <v>1</v>
      </c>
      <c r="L15" s="128" t="str">
        <f t="shared" si="1"/>
        <v>008.Long Term Liabilities</v>
      </c>
    </row>
    <row r="16" spans="3:12" ht="23.25">
      <c r="C16" s="977">
        <v>9</v>
      </c>
      <c r="D16" s="977">
        <f t="shared" si="0"/>
        <v>16</v>
      </c>
      <c r="E16" s="977">
        <v>10</v>
      </c>
      <c r="F16" s="977">
        <v>16</v>
      </c>
      <c r="G16" s="977">
        <v>3000</v>
      </c>
      <c r="H16" s="460" t="s">
        <v>2057</v>
      </c>
      <c r="I16" s="435" t="s">
        <v>2058</v>
      </c>
      <c r="J16" s="460"/>
      <c r="K16" s="977">
        <v>1</v>
      </c>
      <c r="L16" s="128" t="str">
        <f t="shared" si="1"/>
        <v>009.Equity</v>
      </c>
    </row>
    <row r="17" spans="3:12" ht="23.25">
      <c r="C17" s="977">
        <v>10</v>
      </c>
      <c r="D17" s="977">
        <f t="shared" si="0"/>
        <v>17</v>
      </c>
      <c r="E17" s="977">
        <v>11</v>
      </c>
      <c r="F17" s="977">
        <v>17</v>
      </c>
      <c r="G17" s="977">
        <v>4000</v>
      </c>
      <c r="H17" s="460" t="s">
        <v>2059</v>
      </c>
      <c r="I17" s="435" t="s">
        <v>2060</v>
      </c>
      <c r="J17" s="460"/>
      <c r="K17" s="977">
        <v>1</v>
      </c>
      <c r="L17" s="128" t="str">
        <f t="shared" si="1"/>
        <v>010.Income</v>
      </c>
    </row>
    <row r="18" spans="3:12" ht="23.25">
      <c r="C18" s="977">
        <v>11</v>
      </c>
      <c r="D18" s="977">
        <f t="shared" si="0"/>
        <v>19</v>
      </c>
      <c r="E18" s="977">
        <v>12</v>
      </c>
      <c r="F18" s="977">
        <v>19</v>
      </c>
      <c r="G18" s="977">
        <v>5000</v>
      </c>
      <c r="H18" s="460" t="s">
        <v>2061</v>
      </c>
      <c r="I18" s="435" t="s">
        <v>2062</v>
      </c>
      <c r="J18" s="460"/>
      <c r="K18" s="977">
        <v>1</v>
      </c>
      <c r="L18" s="128" t="str">
        <f t="shared" si="1"/>
        <v>011.Cost of Goods Sold</v>
      </c>
    </row>
    <row r="19" spans="3:12" ht="23.25">
      <c r="C19" s="977">
        <v>12</v>
      </c>
      <c r="D19" s="977">
        <f t="shared" si="0"/>
        <v>21</v>
      </c>
      <c r="E19" s="977">
        <v>13</v>
      </c>
      <c r="F19" s="977">
        <v>21</v>
      </c>
      <c r="G19" s="977">
        <v>6000</v>
      </c>
      <c r="H19" s="460" t="s">
        <v>2114</v>
      </c>
      <c r="I19" s="435" t="s">
        <v>2064</v>
      </c>
      <c r="J19" s="460"/>
      <c r="K19" s="977">
        <v>1</v>
      </c>
      <c r="L19" s="128" t="str">
        <f t="shared" si="1"/>
        <v>012.Expenses</v>
      </c>
    </row>
    <row r="20" spans="3:12" ht="23.25">
      <c r="C20" s="977">
        <v>13</v>
      </c>
      <c r="D20" s="977">
        <f t="shared" si="0"/>
        <v>25</v>
      </c>
      <c r="E20" s="977">
        <v>14</v>
      </c>
      <c r="F20" s="977">
        <v>25</v>
      </c>
      <c r="G20" s="977">
        <v>4900</v>
      </c>
      <c r="H20" s="460" t="s">
        <v>2065</v>
      </c>
      <c r="I20" s="435" t="s">
        <v>2066</v>
      </c>
      <c r="J20" s="460"/>
      <c r="K20" s="977">
        <v>1</v>
      </c>
      <c r="L20" s="128" t="str">
        <f t="shared" si="1"/>
        <v>013.Other Income</v>
      </c>
    </row>
    <row r="21" spans="3:12" ht="23.25">
      <c r="C21" s="977">
        <v>14</v>
      </c>
      <c r="D21" s="977">
        <f t="shared" si="0"/>
        <v>26</v>
      </c>
      <c r="E21" s="977">
        <v>15</v>
      </c>
      <c r="F21" s="977">
        <v>26</v>
      </c>
      <c r="G21" s="977">
        <v>6900</v>
      </c>
      <c r="H21" s="460" t="s">
        <v>2067</v>
      </c>
      <c r="I21" s="435" t="s">
        <v>2068</v>
      </c>
      <c r="J21" s="460"/>
      <c r="K21" s="977">
        <v>1</v>
      </c>
      <c r="L21" s="128" t="str">
        <f t="shared" si="1"/>
        <v>014.Other Expense</v>
      </c>
    </row>
    <row r="22" spans="3:12" ht="23.25">
      <c r="C22" s="977">
        <v>15</v>
      </c>
      <c r="D22" s="977">
        <f t="shared" si="0"/>
        <v>5</v>
      </c>
      <c r="E22" s="977">
        <v>3</v>
      </c>
      <c r="F22" s="977">
        <v>5</v>
      </c>
      <c r="G22" s="977">
        <v>1140</v>
      </c>
      <c r="H22" s="460" t="s">
        <v>738</v>
      </c>
      <c r="I22" s="435" t="s">
        <v>1112</v>
      </c>
      <c r="J22" s="460"/>
      <c r="K22" s="977">
        <v>1</v>
      </c>
      <c r="L22" s="128" t="str">
        <f t="shared" si="1"/>
        <v>015.A/R Mirror</v>
      </c>
    </row>
    <row r="23" spans="3:12" ht="23.25">
      <c r="C23" s="977">
        <v>16</v>
      </c>
      <c r="D23" s="977">
        <f t="shared" si="0"/>
        <v>11</v>
      </c>
      <c r="E23" s="977">
        <v>8</v>
      </c>
      <c r="F23" s="977">
        <v>11</v>
      </c>
      <c r="G23" s="977">
        <v>2140</v>
      </c>
      <c r="H23" s="460" t="s">
        <v>739</v>
      </c>
      <c r="I23" s="435" t="s">
        <v>1113</v>
      </c>
      <c r="J23" s="460"/>
      <c r="K23" s="977">
        <v>1</v>
      </c>
      <c r="L23" s="128" t="str">
        <f t="shared" si="1"/>
        <v>016.A/P Mirror</v>
      </c>
    </row>
    <row r="24" spans="3:12" ht="23.25">
      <c r="C24" s="977">
        <v>17</v>
      </c>
      <c r="D24" s="977">
        <f t="shared" si="0"/>
        <v>5</v>
      </c>
      <c r="E24" s="977">
        <v>3</v>
      </c>
      <c r="F24" s="977">
        <v>5</v>
      </c>
      <c r="G24" s="977">
        <v>1150</v>
      </c>
      <c r="H24" s="460" t="s">
        <v>2115</v>
      </c>
      <c r="I24" s="435" t="s">
        <v>2116</v>
      </c>
      <c r="J24" s="460"/>
      <c r="K24" s="977">
        <v>1</v>
      </c>
      <c r="L24" s="128" t="str">
        <f t="shared" si="1"/>
        <v>017.VAT Input</v>
      </c>
    </row>
    <row r="25" spans="3:12" ht="23.25">
      <c r="C25" s="977">
        <v>18</v>
      </c>
      <c r="D25" s="977">
        <f t="shared" si="0"/>
        <v>11</v>
      </c>
      <c r="E25" s="977">
        <v>8</v>
      </c>
      <c r="F25" s="977">
        <v>11</v>
      </c>
      <c r="G25" s="977">
        <v>2150</v>
      </c>
      <c r="H25" s="460" t="s">
        <v>2117</v>
      </c>
      <c r="I25" s="435" t="s">
        <v>2118</v>
      </c>
      <c r="J25" s="460"/>
      <c r="K25" s="977">
        <v>1</v>
      </c>
      <c r="L25" s="128" t="str">
        <f t="shared" si="1"/>
        <v>018.VAT Output</v>
      </c>
    </row>
    <row r="26" spans="3:12" ht="23.25">
      <c r="C26" s="977">
        <v>19</v>
      </c>
      <c r="D26" s="977">
        <f t="shared" si="0"/>
        <v>17</v>
      </c>
      <c r="E26" s="977">
        <v>11</v>
      </c>
      <c r="F26" s="977">
        <v>17</v>
      </c>
      <c r="G26" s="977">
        <v>4999</v>
      </c>
      <c r="H26" s="460" t="s">
        <v>750</v>
      </c>
      <c r="I26" s="435" t="s">
        <v>2093</v>
      </c>
      <c r="J26" s="460"/>
      <c r="K26" s="977">
        <v>1</v>
      </c>
      <c r="L26" s="128" t="str">
        <f t="shared" si="1"/>
        <v>019.Sales Discount</v>
      </c>
    </row>
    <row r="27" spans="3:12" ht="23.25">
      <c r="C27" s="977">
        <v>20</v>
      </c>
      <c r="D27" s="977">
        <f t="shared" si="0"/>
        <v>19</v>
      </c>
      <c r="E27" s="977">
        <v>12</v>
      </c>
      <c r="F27" s="977">
        <v>19</v>
      </c>
      <c r="G27" s="977">
        <v>5999</v>
      </c>
      <c r="H27" s="460" t="s">
        <v>2119</v>
      </c>
      <c r="I27" s="435" t="s">
        <v>2103</v>
      </c>
      <c r="J27" s="460"/>
      <c r="K27" s="977">
        <v>1</v>
      </c>
      <c r="L27" s="128" t="str">
        <f t="shared" si="1"/>
        <v>020.Puchase Discount</v>
      </c>
    </row>
    <row r="28" spans="3:12" ht="23.25">
      <c r="C28" s="977">
        <v>21</v>
      </c>
      <c r="D28" s="977">
        <f t="shared" si="0"/>
        <v>17</v>
      </c>
      <c r="E28" s="977">
        <v>10</v>
      </c>
      <c r="F28" s="977">
        <v>17</v>
      </c>
      <c r="G28" s="977">
        <v>3999</v>
      </c>
      <c r="H28" s="460" t="s">
        <v>2120</v>
      </c>
      <c r="I28" s="435" t="s">
        <v>2121</v>
      </c>
      <c r="J28" s="460"/>
      <c r="K28" s="977">
        <v>4</v>
      </c>
      <c r="L28" s="128" t="str">
        <f t="shared" si="1"/>
        <v>021.Income Summary</v>
      </c>
    </row>
    <row r="29" spans="3:12" ht="23.25">
      <c r="C29" s="977">
        <v>22</v>
      </c>
      <c r="D29" s="977">
        <f t="shared" si="0"/>
        <v>16</v>
      </c>
      <c r="E29" s="977">
        <v>10</v>
      </c>
      <c r="F29" s="977">
        <v>16</v>
      </c>
      <c r="G29" s="977">
        <v>3200</v>
      </c>
      <c r="H29" s="460" t="s">
        <v>2089</v>
      </c>
      <c r="I29" s="435" t="s">
        <v>2090</v>
      </c>
      <c r="J29" s="460"/>
      <c r="K29" s="977">
        <v>4</v>
      </c>
      <c r="L29" s="128" t="str">
        <f t="shared" si="1"/>
        <v>022.Retained Earning</v>
      </c>
    </row>
    <row r="30" spans="3:12" ht="23.25">
      <c r="C30" s="977">
        <v>23</v>
      </c>
      <c r="D30" s="977">
        <f t="shared" si="0"/>
        <v>16</v>
      </c>
      <c r="E30" s="977">
        <v>10</v>
      </c>
      <c r="F30" s="977">
        <v>16</v>
      </c>
      <c r="G30" s="977">
        <v>3300</v>
      </c>
      <c r="H30" s="460" t="s">
        <v>2122</v>
      </c>
      <c r="I30" s="435" t="s">
        <v>2123</v>
      </c>
      <c r="J30" s="460"/>
      <c r="K30" s="977">
        <v>2</v>
      </c>
      <c r="L30" s="128" t="str">
        <f t="shared" si="1"/>
        <v>023.Dividends</v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2626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1</xdr:row>
                    <xdr:rowOff>85725</xdr:rowOff>
                  </from>
                  <to>
                    <xdr:col>3</xdr:col>
                    <xdr:colOff>638175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80" zoomScaleNormal="80" workbookViewId="0">
      <pane ySplit="7" topLeftCell="A8" activePane="bottomLeft" state="frozen"/>
      <selection pane="bottomLeft" activeCell="E30" sqref="E30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18.75" customHeight="1">
      <c r="M4" s="128" t="s">
        <v>2089</v>
      </c>
      <c r="N4" t="s">
        <v>2227</v>
      </c>
    </row>
    <row r="5" spans="3:15" ht="18" customHeight="1"/>
    <row r="6" spans="3:15" ht="26.25" customHeight="1">
      <c r="C6" s="988" t="s">
        <v>59</v>
      </c>
      <c r="D6" s="882" t="s">
        <v>2166</v>
      </c>
      <c r="E6" s="882" t="s">
        <v>288</v>
      </c>
      <c r="F6" s="882" t="s">
        <v>410</v>
      </c>
      <c r="G6" s="988" t="s">
        <v>2167</v>
      </c>
      <c r="H6" s="882" t="s">
        <v>2168</v>
      </c>
      <c r="I6" s="882" t="s">
        <v>2169</v>
      </c>
      <c r="J6" s="882" t="s">
        <v>2171</v>
      </c>
      <c r="K6" s="882" t="s">
        <v>2170</v>
      </c>
      <c r="L6" s="882" t="s">
        <v>264</v>
      </c>
    </row>
    <row r="7" spans="3:15" ht="24.75" customHeight="1">
      <c r="C7" s="990" t="s">
        <v>1901</v>
      </c>
      <c r="D7" s="979" t="s">
        <v>2151</v>
      </c>
      <c r="E7" s="979" t="s">
        <v>13</v>
      </c>
      <c r="F7" s="979" t="s">
        <v>137</v>
      </c>
      <c r="G7" s="990" t="s">
        <v>2152</v>
      </c>
      <c r="H7" s="979" t="s">
        <v>2150</v>
      </c>
      <c r="I7" s="979" t="s">
        <v>530</v>
      </c>
      <c r="J7" s="979" t="s">
        <v>1975</v>
      </c>
      <c r="K7" s="979" t="s">
        <v>2153</v>
      </c>
      <c r="L7" s="979" t="s">
        <v>212</v>
      </c>
    </row>
    <row r="8" spans="3:15" ht="23.25">
      <c r="C8" s="283">
        <v>1</v>
      </c>
      <c r="D8" s="283">
        <v>2</v>
      </c>
      <c r="E8" s="286" t="s">
        <v>740</v>
      </c>
      <c r="F8" s="285" t="s">
        <v>2125</v>
      </c>
      <c r="G8" s="283">
        <v>3</v>
      </c>
      <c r="H8" s="286" t="str">
        <f>IF(G8&lt;&gt;"",VLOOKUP(G8,ChartAccount!$C$8:$K$100,6,FALSE),"")</f>
        <v>Inventory</v>
      </c>
      <c r="I8" s="283">
        <v>1</v>
      </c>
      <c r="J8" s="283" t="s">
        <v>290</v>
      </c>
      <c r="K8" s="283">
        <v>1</v>
      </c>
      <c r="L8" s="283">
        <v>1</v>
      </c>
      <c r="M8" s="128" t="str">
        <f>IF(AND(C8&lt;&gt;"",E8&lt;&gt;""),TEXT(C8,"000")&amp;"."&amp;E8,"")</f>
        <v>001.Inventory Asset Account</v>
      </c>
      <c r="O8" s="153">
        <f>G8*1</f>
        <v>3</v>
      </c>
    </row>
    <row r="9" spans="3:15" ht="23.25">
      <c r="C9" s="283">
        <v>2</v>
      </c>
      <c r="D9" s="283">
        <v>2</v>
      </c>
      <c r="E9" s="286" t="s">
        <v>741</v>
      </c>
      <c r="F9" s="285" t="s">
        <v>1116</v>
      </c>
      <c r="G9" s="283">
        <v>11</v>
      </c>
      <c r="H9" s="286" t="str">
        <f>IF(G9&lt;&gt;"",VLOOKUP(G9,ChartAccount!$C$8:$K$100,6,FALSE),"")</f>
        <v>Cost of Goods Sold</v>
      </c>
      <c r="I9" s="283">
        <v>2</v>
      </c>
      <c r="J9" s="283" t="s">
        <v>290</v>
      </c>
      <c r="K9" s="283">
        <v>2</v>
      </c>
      <c r="L9" s="283">
        <v>1</v>
      </c>
      <c r="M9" s="128" t="str">
        <f t="shared" ref="M9:M31" si="0">IF(AND(C9&lt;&gt;"",E9&lt;&gt;""),TEXT(C9,"000")&amp;"."&amp;E9,"")</f>
        <v>002.COGS Account</v>
      </c>
      <c r="O9" s="153">
        <f t="shared" ref="O9:O31" si="1">G9*1</f>
        <v>11</v>
      </c>
    </row>
    <row r="10" spans="3:15" ht="23.25">
      <c r="C10" s="283">
        <v>3</v>
      </c>
      <c r="D10" s="283">
        <v>2</v>
      </c>
      <c r="E10" s="286" t="s">
        <v>742</v>
      </c>
      <c r="F10" s="285" t="s">
        <v>2126</v>
      </c>
      <c r="G10" s="283">
        <v>9</v>
      </c>
      <c r="H10" s="286" t="str">
        <f>IF(G10&lt;&gt;"",VLOOKUP(G10,ChartAccount!$C$8:$K$100,6,FALSE),"")</f>
        <v>Equity</v>
      </c>
      <c r="I10" s="283">
        <v>3</v>
      </c>
      <c r="J10" s="283" t="s">
        <v>290</v>
      </c>
      <c r="K10" s="283">
        <v>3</v>
      </c>
      <c r="L10" s="283">
        <v>1</v>
      </c>
      <c r="M10" s="128" t="str">
        <f t="shared" si="0"/>
        <v>003.Inventory Adjustment Account</v>
      </c>
      <c r="O10" s="153">
        <f t="shared" si="1"/>
        <v>9</v>
      </c>
    </row>
    <row r="11" spans="3:15" ht="23.25">
      <c r="C11" s="283">
        <v>4</v>
      </c>
      <c r="D11" s="283">
        <v>3</v>
      </c>
      <c r="E11" s="286" t="s">
        <v>743</v>
      </c>
      <c r="F11" s="285" t="s">
        <v>2050</v>
      </c>
      <c r="G11" s="283">
        <v>6</v>
      </c>
      <c r="H11" s="286" t="str">
        <f>IF(G11&lt;&gt;"",VLOOKUP(G11,ChartAccount!$C$8:$K$100,6,FALSE),"")</f>
        <v>Accounts Payable</v>
      </c>
      <c r="I11" s="283">
        <v>1</v>
      </c>
      <c r="J11" s="283" t="s">
        <v>527</v>
      </c>
      <c r="K11" s="283">
        <v>4</v>
      </c>
      <c r="L11" s="283">
        <v>1</v>
      </c>
      <c r="M11" s="128" t="str">
        <f t="shared" si="0"/>
        <v>004.Accounts Payable</v>
      </c>
      <c r="O11" s="153">
        <f t="shared" si="1"/>
        <v>6</v>
      </c>
    </row>
    <row r="12" spans="3:15" ht="23.25">
      <c r="C12" s="283">
        <v>5</v>
      </c>
      <c r="D12" s="283">
        <v>3</v>
      </c>
      <c r="E12" s="286" t="s">
        <v>744</v>
      </c>
      <c r="F12" s="285" t="s">
        <v>2127</v>
      </c>
      <c r="G12" s="283">
        <v>13</v>
      </c>
      <c r="H12" s="286" t="str">
        <f>IF(G12&lt;&gt;"",VLOOKUP(G12,ChartAccount!$C$8:$K$100,6,FALSE),"")</f>
        <v>Other Income</v>
      </c>
      <c r="I12" s="283">
        <v>2</v>
      </c>
      <c r="J12" s="283" t="s">
        <v>527</v>
      </c>
      <c r="K12" s="283">
        <v>5</v>
      </c>
      <c r="L12" s="283">
        <v>1</v>
      </c>
      <c r="M12" s="128" t="str">
        <f t="shared" si="0"/>
        <v>005.Purchase Discount</v>
      </c>
      <c r="O12" s="153">
        <f t="shared" si="1"/>
        <v>13</v>
      </c>
    </row>
    <row r="13" spans="3:15" ht="23.25">
      <c r="C13" s="283">
        <v>6</v>
      </c>
      <c r="D13" s="283">
        <v>3</v>
      </c>
      <c r="E13" s="286" t="s">
        <v>745</v>
      </c>
      <c r="F13" s="285" t="s">
        <v>2128</v>
      </c>
      <c r="G13" s="283">
        <v>1</v>
      </c>
      <c r="H13" s="286" t="str">
        <f>IF(G13&lt;&gt;"",VLOOKUP(G13,ChartAccount!$C$8:$K$100,6,FALSE),"")</f>
        <v>Cash and Bank</v>
      </c>
      <c r="I13" s="283">
        <v>3</v>
      </c>
      <c r="J13" s="283" t="s">
        <v>527</v>
      </c>
      <c r="K13" s="283">
        <v>6</v>
      </c>
      <c r="L13" s="283">
        <v>1</v>
      </c>
      <c r="M13" s="128" t="str">
        <f t="shared" si="0"/>
        <v>006.Cash Pay Bill</v>
      </c>
      <c r="O13" s="153">
        <f t="shared" si="1"/>
        <v>1</v>
      </c>
    </row>
    <row r="14" spans="3:15" ht="23.25">
      <c r="C14" s="283">
        <v>7</v>
      </c>
      <c r="D14" s="283">
        <v>3</v>
      </c>
      <c r="E14" s="286" t="s">
        <v>746</v>
      </c>
      <c r="F14" s="285" t="s">
        <v>2129</v>
      </c>
      <c r="G14" s="283">
        <v>13</v>
      </c>
      <c r="H14" s="286" t="str">
        <f>IF(G14&lt;&gt;"",VLOOKUP(G14,ChartAccount!$C$8:$K$100,6,FALSE),"")</f>
        <v>Other Income</v>
      </c>
      <c r="I14" s="283">
        <v>4</v>
      </c>
      <c r="J14" s="283" t="s">
        <v>527</v>
      </c>
      <c r="K14" s="283">
        <v>7</v>
      </c>
      <c r="L14" s="283">
        <v>1</v>
      </c>
      <c r="M14" s="128" t="str">
        <f t="shared" si="0"/>
        <v>007.Paybill Discount</v>
      </c>
      <c r="O14" s="153">
        <f t="shared" si="1"/>
        <v>13</v>
      </c>
    </row>
    <row r="15" spans="3:15" ht="23.25">
      <c r="C15" s="283">
        <v>8</v>
      </c>
      <c r="D15" s="283">
        <v>3</v>
      </c>
      <c r="E15" s="286" t="s">
        <v>529</v>
      </c>
      <c r="F15" s="285" t="s">
        <v>2130</v>
      </c>
      <c r="G15" s="283">
        <v>1</v>
      </c>
      <c r="H15" s="286" t="str">
        <f>IF(G15&lt;&gt;"",VLOOKUP(G15,ChartAccount!$C$8:$K$100,6,FALSE),"")</f>
        <v>Cash and Bank</v>
      </c>
      <c r="I15" s="283">
        <v>5</v>
      </c>
      <c r="J15" s="283" t="s">
        <v>527</v>
      </c>
      <c r="K15" s="283">
        <v>8</v>
      </c>
      <c r="L15" s="283">
        <v>1</v>
      </c>
      <c r="M15" s="128" t="str">
        <f t="shared" si="0"/>
        <v>008.Cash Expense</v>
      </c>
      <c r="O15" s="153">
        <f t="shared" si="1"/>
        <v>1</v>
      </c>
    </row>
    <row r="16" spans="3:15" ht="23.25">
      <c r="C16" s="283">
        <v>9</v>
      </c>
      <c r="D16" s="283">
        <v>3</v>
      </c>
      <c r="E16" s="286" t="s">
        <v>2137</v>
      </c>
      <c r="F16" s="285" t="s">
        <v>2138</v>
      </c>
      <c r="G16" s="283">
        <v>2</v>
      </c>
      <c r="H16" s="286" t="str">
        <f>IF(G16&lt;&gt;"",VLOOKUP(G16,ChartAccount!$C$8:$K$100,6,FALSE),"")</f>
        <v>Accounts Receivable</v>
      </c>
      <c r="I16" s="283">
        <v>6</v>
      </c>
      <c r="J16" s="283" t="s">
        <v>527</v>
      </c>
      <c r="K16" s="283">
        <v>9</v>
      </c>
      <c r="L16" s="283">
        <v>1</v>
      </c>
      <c r="M16" s="128" t="str">
        <f t="shared" si="0"/>
        <v>009.Account Receivable (Landed Cost)</v>
      </c>
      <c r="O16" s="153">
        <f t="shared" si="1"/>
        <v>2</v>
      </c>
    </row>
    <row r="17" spans="3:15" ht="23.25">
      <c r="C17" s="283">
        <v>10</v>
      </c>
      <c r="D17" s="283">
        <v>3</v>
      </c>
      <c r="E17" s="286" t="s">
        <v>2141</v>
      </c>
      <c r="F17" s="285" t="s">
        <v>2142</v>
      </c>
      <c r="G17" s="283">
        <v>1</v>
      </c>
      <c r="H17" s="286" t="str">
        <f>IF(G17&lt;&gt;"",VLOOKUP(G17,ChartAccount!$C$8:$K$100,6,FALSE),"")</f>
        <v>Cash and Bank</v>
      </c>
      <c r="I17" s="283">
        <v>7</v>
      </c>
      <c r="J17" s="283" t="s">
        <v>527</v>
      </c>
      <c r="K17" s="283">
        <v>10</v>
      </c>
      <c r="L17" s="283">
        <v>1</v>
      </c>
      <c r="M17" s="128" t="str">
        <f t="shared" si="0"/>
        <v>010.Miscellaneous Account</v>
      </c>
      <c r="O17" s="153">
        <f t="shared" si="1"/>
        <v>1</v>
      </c>
    </row>
    <row r="18" spans="3:15" ht="23.25">
      <c r="C18" s="283">
        <v>11</v>
      </c>
      <c r="D18" s="283">
        <v>3</v>
      </c>
      <c r="E18" s="286" t="s">
        <v>2143</v>
      </c>
      <c r="F18" s="285" t="s">
        <v>2144</v>
      </c>
      <c r="G18" s="283">
        <v>11</v>
      </c>
      <c r="H18" s="286" t="str">
        <f>IF(G18&lt;&gt;"",VLOOKUP(G18,ChartAccount!$C$8:$K$100,6,FALSE),"")</f>
        <v>Cost of Goods Sold</v>
      </c>
      <c r="I18" s="283">
        <v>8</v>
      </c>
      <c r="J18" s="283" t="s">
        <v>527</v>
      </c>
      <c r="K18" s="283">
        <v>11</v>
      </c>
      <c r="L18" s="283">
        <v>1</v>
      </c>
      <c r="M18" s="128" t="str">
        <f t="shared" si="0"/>
        <v>011.Landing Costs</v>
      </c>
      <c r="O18" s="153">
        <f t="shared" si="1"/>
        <v>11</v>
      </c>
    </row>
    <row r="19" spans="3:15" ht="23.25">
      <c r="C19" s="283">
        <v>12</v>
      </c>
      <c r="D19" s="283">
        <v>3</v>
      </c>
      <c r="E19" s="286" t="s">
        <v>2584</v>
      </c>
      <c r="F19" s="285" t="s">
        <v>2586</v>
      </c>
      <c r="G19" s="283">
        <v>18</v>
      </c>
      <c r="H19" s="286" t="str">
        <f>IF(G19&lt;&gt;"",VLOOKUP(G19,ChartAccount!$C$8:$K$100,6,FALSE),"")</f>
        <v>VAT Output</v>
      </c>
      <c r="I19" s="283">
        <v>9</v>
      </c>
      <c r="J19" s="283" t="s">
        <v>527</v>
      </c>
      <c r="K19" s="283">
        <v>12</v>
      </c>
      <c r="L19" s="283">
        <v>1</v>
      </c>
      <c r="M19" s="128" t="str">
        <f t="shared" si="0"/>
        <v>012.Purchase VAT</v>
      </c>
      <c r="O19" s="153">
        <f t="shared" si="1"/>
        <v>18</v>
      </c>
    </row>
    <row r="20" spans="3:15" ht="23.25">
      <c r="C20" s="283">
        <v>13</v>
      </c>
      <c r="D20" s="283">
        <v>4</v>
      </c>
      <c r="E20" s="286" t="s">
        <v>2585</v>
      </c>
      <c r="F20" s="285" t="s">
        <v>2587</v>
      </c>
      <c r="G20" s="283">
        <v>17</v>
      </c>
      <c r="H20" s="286" t="str">
        <f>IF(G20&lt;&gt;"",VLOOKUP(G20,ChartAccount!$C$8:$K$100,6,FALSE),"")</f>
        <v>VAT Input</v>
      </c>
      <c r="I20" s="283">
        <v>1</v>
      </c>
      <c r="J20" s="283" t="s">
        <v>291</v>
      </c>
      <c r="K20" s="283">
        <v>13</v>
      </c>
      <c r="L20" s="283">
        <v>1</v>
      </c>
      <c r="M20" s="128" t="str">
        <f t="shared" si="0"/>
        <v>013.Sales VAT</v>
      </c>
      <c r="O20" s="153">
        <f t="shared" si="1"/>
        <v>17</v>
      </c>
    </row>
    <row r="21" spans="3:15" ht="23.25">
      <c r="C21" s="283">
        <v>14</v>
      </c>
      <c r="D21" s="283">
        <v>4</v>
      </c>
      <c r="E21" s="286" t="s">
        <v>747</v>
      </c>
      <c r="F21" s="285" t="s">
        <v>1123</v>
      </c>
      <c r="G21" s="283">
        <v>2</v>
      </c>
      <c r="H21" s="286" t="str">
        <f>IF(G21&lt;&gt;"",VLOOKUP(G21,ChartAccount!$C$8:$K$100,6,FALSE),"")</f>
        <v>Accounts Receivable</v>
      </c>
      <c r="I21" s="283">
        <v>2</v>
      </c>
      <c r="J21" s="283" t="s">
        <v>291</v>
      </c>
      <c r="K21" s="283">
        <v>14</v>
      </c>
      <c r="L21" s="283">
        <v>1</v>
      </c>
      <c r="M21" s="128" t="str">
        <f t="shared" si="0"/>
        <v>014.Accounts Receivable</v>
      </c>
      <c r="O21" s="153">
        <f t="shared" si="1"/>
        <v>2</v>
      </c>
    </row>
    <row r="22" spans="3:15" ht="23.25">
      <c r="C22" s="283">
        <v>15</v>
      </c>
      <c r="D22" s="283">
        <v>4</v>
      </c>
      <c r="E22" s="286" t="s">
        <v>748</v>
      </c>
      <c r="F22" s="285" t="s">
        <v>1124</v>
      </c>
      <c r="G22" s="283">
        <v>10</v>
      </c>
      <c r="H22" s="286" t="str">
        <f>IF(G22&lt;&gt;"",VLOOKUP(G22,ChartAccount!$C$8:$K$100,6,FALSE),"")</f>
        <v>Income</v>
      </c>
      <c r="I22" s="283">
        <v>3</v>
      </c>
      <c r="J22" s="283" t="s">
        <v>291</v>
      </c>
      <c r="K22" s="283">
        <v>15</v>
      </c>
      <c r="L22" s="283">
        <v>1</v>
      </c>
      <c r="M22" s="128" t="str">
        <f t="shared" si="0"/>
        <v>015.Sales Income</v>
      </c>
      <c r="O22" s="153">
        <f t="shared" si="1"/>
        <v>10</v>
      </c>
    </row>
    <row r="23" spans="3:15" ht="23.25">
      <c r="C23" s="283">
        <v>16</v>
      </c>
      <c r="D23" s="283">
        <v>4</v>
      </c>
      <c r="E23" s="286" t="s">
        <v>749</v>
      </c>
      <c r="F23" s="285" t="s">
        <v>2131</v>
      </c>
      <c r="G23" s="283">
        <v>10</v>
      </c>
      <c r="H23" s="286" t="str">
        <f>IF(G23&lt;&gt;"",VLOOKUP(G23,ChartAccount!$C$8:$K$100,6,FALSE),"")</f>
        <v>Income</v>
      </c>
      <c r="I23" s="283">
        <v>4</v>
      </c>
      <c r="J23" s="283" t="s">
        <v>291</v>
      </c>
      <c r="K23" s="283">
        <v>16</v>
      </c>
      <c r="L23" s="283">
        <v>1</v>
      </c>
      <c r="M23" s="128" t="str">
        <f t="shared" si="0"/>
        <v>016.Sales Markup</v>
      </c>
      <c r="O23" s="153">
        <f t="shared" si="1"/>
        <v>10</v>
      </c>
    </row>
    <row r="24" spans="3:15" ht="23.25">
      <c r="C24" s="283">
        <v>17</v>
      </c>
      <c r="D24" s="283">
        <v>4</v>
      </c>
      <c r="E24" s="286" t="s">
        <v>750</v>
      </c>
      <c r="F24" s="285" t="s">
        <v>2132</v>
      </c>
      <c r="G24" s="283">
        <v>12</v>
      </c>
      <c r="H24" s="286" t="str">
        <f>IF(G24&lt;&gt;"",VLOOKUP(G24,ChartAccount!$C$8:$K$100,6,FALSE),"")</f>
        <v>Expenses</v>
      </c>
      <c r="I24" s="283">
        <v>5</v>
      </c>
      <c r="J24" s="283" t="s">
        <v>291</v>
      </c>
      <c r="K24" s="283">
        <v>17</v>
      </c>
      <c r="L24" s="283">
        <v>1</v>
      </c>
      <c r="M24" s="128" t="str">
        <f t="shared" si="0"/>
        <v>017.Sales Discount</v>
      </c>
      <c r="O24" s="153">
        <f t="shared" si="1"/>
        <v>12</v>
      </c>
    </row>
    <row r="25" spans="3:15" ht="23.25">
      <c r="C25" s="283">
        <v>18</v>
      </c>
      <c r="D25" s="283">
        <v>4</v>
      </c>
      <c r="E25" s="286" t="s">
        <v>751</v>
      </c>
      <c r="F25" s="285" t="s">
        <v>1127</v>
      </c>
      <c r="G25" s="283">
        <v>10</v>
      </c>
      <c r="H25" s="286" t="str">
        <f>IF(G25&lt;&gt;"",VLOOKUP(G25,ChartAccount!$C$8:$K$100,6,FALSE),"")</f>
        <v>Income</v>
      </c>
      <c r="I25" s="283">
        <v>6</v>
      </c>
      <c r="J25" s="283" t="s">
        <v>291</v>
      </c>
      <c r="K25" s="283">
        <v>18</v>
      </c>
      <c r="L25" s="283">
        <v>1</v>
      </c>
      <c r="M25" s="128" t="str">
        <f t="shared" si="0"/>
        <v>018.Service Account</v>
      </c>
      <c r="O25" s="153">
        <f t="shared" si="1"/>
        <v>10</v>
      </c>
    </row>
    <row r="26" spans="3:15" ht="23.25">
      <c r="C26" s="283">
        <v>19</v>
      </c>
      <c r="D26" s="283">
        <v>4</v>
      </c>
      <c r="E26" s="286" t="s">
        <v>752</v>
      </c>
      <c r="F26" s="285" t="s">
        <v>2133</v>
      </c>
      <c r="G26" s="283">
        <v>1</v>
      </c>
      <c r="H26" s="286" t="str">
        <f>IF(G26&lt;&gt;"",VLOOKUP(G26,ChartAccount!$C$8:$K$100,6,FALSE),"")</f>
        <v>Cash and Bank</v>
      </c>
      <c r="I26" s="283">
        <v>7</v>
      </c>
      <c r="J26" s="283" t="s">
        <v>291</v>
      </c>
      <c r="K26" s="283">
        <v>19</v>
      </c>
      <c r="L26" s="283">
        <v>1</v>
      </c>
      <c r="M26" s="128" t="str">
        <f t="shared" si="0"/>
        <v>019.Cash Payment</v>
      </c>
      <c r="O26" s="153">
        <f t="shared" si="1"/>
        <v>1</v>
      </c>
    </row>
    <row r="27" spans="3:15" ht="23.25">
      <c r="C27" s="283">
        <v>20</v>
      </c>
      <c r="D27" s="283">
        <v>4</v>
      </c>
      <c r="E27" s="286" t="s">
        <v>753</v>
      </c>
      <c r="F27" s="285" t="s">
        <v>2134</v>
      </c>
      <c r="G27" s="283">
        <v>14</v>
      </c>
      <c r="H27" s="286" t="str">
        <f>IF(G27&lt;&gt;"",VLOOKUP(G27,ChartAccount!$C$8:$K$100,6,FALSE),"")</f>
        <v>Other Expense</v>
      </c>
      <c r="I27" s="283">
        <v>8</v>
      </c>
      <c r="J27" s="283" t="s">
        <v>291</v>
      </c>
      <c r="K27" s="283">
        <v>20</v>
      </c>
      <c r="L27" s="283">
        <v>1</v>
      </c>
      <c r="M27" s="128" t="str">
        <f t="shared" si="0"/>
        <v>020.Payment Discount</v>
      </c>
      <c r="O27" s="153">
        <f t="shared" si="1"/>
        <v>14</v>
      </c>
    </row>
    <row r="28" spans="3:15" ht="23.25">
      <c r="C28" s="283">
        <v>21</v>
      </c>
      <c r="D28" s="283">
        <v>4</v>
      </c>
      <c r="E28" s="286" t="s">
        <v>2135</v>
      </c>
      <c r="F28" s="285" t="s">
        <v>2136</v>
      </c>
      <c r="G28" s="283">
        <v>1</v>
      </c>
      <c r="H28" s="286" t="str">
        <f>IF(G28&lt;&gt;"",VLOOKUP(G28,ChartAccount!$C$8:$K$100,6,FALSE),"")</f>
        <v>Cash and Bank</v>
      </c>
      <c r="I28" s="283">
        <v>9</v>
      </c>
      <c r="J28" s="283" t="s">
        <v>291</v>
      </c>
      <c r="K28" s="283">
        <v>21</v>
      </c>
      <c r="L28" s="283">
        <v>1</v>
      </c>
      <c r="M28" s="128" t="str">
        <f t="shared" si="0"/>
        <v>021.Cash Deposit</v>
      </c>
      <c r="O28" s="153">
        <f t="shared" si="1"/>
        <v>1</v>
      </c>
    </row>
    <row r="29" spans="3:15" ht="23.25">
      <c r="C29" s="283">
        <v>22</v>
      </c>
      <c r="D29" s="283">
        <v>4</v>
      </c>
      <c r="E29" s="286" t="s">
        <v>2139</v>
      </c>
      <c r="F29" s="285" t="s">
        <v>2140</v>
      </c>
      <c r="G29" s="283">
        <v>1</v>
      </c>
      <c r="H29" s="286" t="str">
        <f>IF(G29&lt;&gt;"",VLOOKUP(G29,ChartAccount!$C$8:$K$100,6,FALSE),"")</f>
        <v>Cash and Bank</v>
      </c>
      <c r="I29" s="283">
        <v>10</v>
      </c>
      <c r="J29" s="283" t="s">
        <v>291</v>
      </c>
      <c r="K29" s="283">
        <v>22</v>
      </c>
      <c r="L29" s="283">
        <v>1</v>
      </c>
      <c r="M29" s="128" t="str">
        <f t="shared" si="0"/>
        <v>022.Sales Change</v>
      </c>
      <c r="O29" s="153">
        <f t="shared" si="1"/>
        <v>1</v>
      </c>
    </row>
    <row r="30" spans="3:15" ht="23.25">
      <c r="C30" s="283">
        <v>23</v>
      </c>
      <c r="D30" s="283">
        <v>4</v>
      </c>
      <c r="E30" s="286" t="s">
        <v>2145</v>
      </c>
      <c r="F30" s="285" t="s">
        <v>2146</v>
      </c>
      <c r="G30" s="283">
        <v>2</v>
      </c>
      <c r="H30" s="286" t="str">
        <f>IF(G30&lt;&gt;"",VLOOKUP(G30,ChartAccount!$C$8:$K$100,6,FALSE),"")</f>
        <v>Accounts Receivable</v>
      </c>
      <c r="I30" s="283">
        <v>11</v>
      </c>
      <c r="J30" s="283" t="s">
        <v>291</v>
      </c>
      <c r="K30" s="283">
        <v>23</v>
      </c>
      <c r="L30" s="283">
        <v>1</v>
      </c>
      <c r="M30" s="128" t="str">
        <f t="shared" si="0"/>
        <v>023.Unearned Revenue</v>
      </c>
      <c r="O30" s="153">
        <f t="shared" si="1"/>
        <v>2</v>
      </c>
    </row>
    <row r="31" spans="3:15" ht="23.25">
      <c r="C31" s="283">
        <v>24</v>
      </c>
      <c r="D31" s="283">
        <v>4</v>
      </c>
      <c r="E31" s="286" t="s">
        <v>2147</v>
      </c>
      <c r="F31" s="285" t="s">
        <v>2148</v>
      </c>
      <c r="G31" s="283">
        <v>12</v>
      </c>
      <c r="H31" s="286" t="str">
        <f>IF(G31&lt;&gt;"",VLOOKUP(G31,ChartAccount!$C$8:$K$100,6,FALSE),"")</f>
        <v>Expenses</v>
      </c>
      <c r="I31" s="283">
        <v>12</v>
      </c>
      <c r="J31" s="283" t="s">
        <v>291</v>
      </c>
      <c r="K31" s="283">
        <v>24</v>
      </c>
      <c r="L31" s="283">
        <v>1</v>
      </c>
      <c r="M31" s="128" t="str">
        <f t="shared" si="0"/>
        <v>024.Unearned Discount</v>
      </c>
      <c r="O31" s="153">
        <f t="shared" si="1"/>
        <v>12</v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3650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19050</xdr:colOff>
                    <xdr:row>2</xdr:row>
                    <xdr:rowOff>104775</xdr:rowOff>
                  </from>
                  <to>
                    <xdr:col>3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J20" sqref="J20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982"/>
      <c r="D5" s="982"/>
      <c r="E5" s="982"/>
      <c r="F5" s="982"/>
    </row>
    <row r="7" spans="3:6" ht="33.75" customHeight="1">
      <c r="C7" s="974" t="s">
        <v>2041</v>
      </c>
      <c r="D7" s="974" t="s">
        <v>2042</v>
      </c>
      <c r="E7" s="974" t="s">
        <v>2124</v>
      </c>
      <c r="F7" s="974" t="s">
        <v>531</v>
      </c>
    </row>
    <row r="8" spans="3:6" ht="24.95" customHeight="1">
      <c r="C8" s="975">
        <v>1</v>
      </c>
      <c r="D8" s="976" t="s">
        <v>1976</v>
      </c>
      <c r="E8" s="975">
        <v>0</v>
      </c>
      <c r="F8" s="975">
        <v>1</v>
      </c>
    </row>
    <row r="9" spans="3:6" ht="24.95" customHeight="1">
      <c r="C9" s="975">
        <v>2</v>
      </c>
      <c r="D9" s="976" t="s">
        <v>290</v>
      </c>
      <c r="E9" s="975">
        <v>1</v>
      </c>
      <c r="F9" s="975">
        <v>1</v>
      </c>
    </row>
    <row r="10" spans="3:6" ht="24.95" customHeight="1">
      <c r="C10" s="975">
        <v>3</v>
      </c>
      <c r="D10" s="976" t="s">
        <v>527</v>
      </c>
      <c r="E10" s="975">
        <v>2</v>
      </c>
      <c r="F10" s="975">
        <v>1</v>
      </c>
    </row>
    <row r="11" spans="3:6" ht="24.95" customHeight="1">
      <c r="C11" s="975">
        <v>4</v>
      </c>
      <c r="D11" s="976" t="s">
        <v>291</v>
      </c>
      <c r="E11" s="975">
        <v>3</v>
      </c>
      <c r="F11" s="975">
        <v>1</v>
      </c>
    </row>
    <row r="12" spans="3:6" ht="24.95" customHeight="1">
      <c r="C12" s="975">
        <v>5</v>
      </c>
      <c r="D12" s="976" t="s">
        <v>1996</v>
      </c>
      <c r="E12" s="975">
        <v>4</v>
      </c>
      <c r="F12" s="975">
        <v>1</v>
      </c>
    </row>
    <row r="13" spans="3:6" ht="24.95" customHeight="1">
      <c r="C13" s="975">
        <v>6</v>
      </c>
      <c r="D13" s="976" t="s">
        <v>292</v>
      </c>
      <c r="E13" s="975">
        <v>5</v>
      </c>
      <c r="F13" s="975">
        <v>1</v>
      </c>
    </row>
    <row r="14" spans="3:6" ht="24.95" customHeight="1">
      <c r="C14" s="975">
        <v>7</v>
      </c>
      <c r="D14" s="976" t="s">
        <v>293</v>
      </c>
      <c r="E14" s="975">
        <v>6</v>
      </c>
      <c r="F14" s="975">
        <v>1</v>
      </c>
    </row>
    <row r="15" spans="3:6" ht="24.95" customHeight="1">
      <c r="C15" s="975">
        <v>8</v>
      </c>
      <c r="D15" s="976" t="s">
        <v>299</v>
      </c>
      <c r="E15" s="975">
        <v>7</v>
      </c>
      <c r="F15" s="975">
        <v>1</v>
      </c>
    </row>
    <row r="16" spans="3:6" ht="24.95" customHeight="1">
      <c r="C16" s="975">
        <v>9</v>
      </c>
      <c r="D16" s="976" t="s">
        <v>2149</v>
      </c>
      <c r="E16" s="975">
        <v>8</v>
      </c>
      <c r="F16" s="975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673" r:id="rId3" name="Button 1">
              <controlPr defaultSize="0" print="0" autoFill="0" autoPict="0" altText="ទំព័រដើម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topLeftCell="C1" workbookViewId="0">
      <pane ySplit="6" topLeftCell="A7" activePane="bottomLeft" state="frozen"/>
      <selection activeCell="C1" sqref="C1"/>
      <selection pane="bottomLeft" activeCell="J14" sqref="J14"/>
    </sheetView>
  </sheetViews>
  <sheetFormatPr defaultRowHeight="15"/>
  <cols>
    <col min="1" max="2" width="0" style="133" hidden="1" customWidth="1"/>
    <col min="3" max="3" width="9.140625" style="380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601" t="s">
        <v>532</v>
      </c>
      <c r="D3" s="1601"/>
      <c r="E3" s="1601"/>
      <c r="F3" s="1601"/>
      <c r="G3" s="1601"/>
    </row>
    <row r="5" spans="2:8" ht="3.75" customHeight="1"/>
    <row r="6" spans="2:8" ht="29.25" customHeight="1">
      <c r="B6" s="126"/>
      <c r="C6" s="967" t="s">
        <v>328</v>
      </c>
      <c r="D6" s="967" t="s">
        <v>13</v>
      </c>
      <c r="E6" s="967" t="s">
        <v>1975</v>
      </c>
      <c r="F6" s="967" t="s">
        <v>530</v>
      </c>
      <c r="G6" s="967" t="s">
        <v>212</v>
      </c>
      <c r="H6" s="968"/>
    </row>
    <row r="7" spans="2:8" ht="20.100000000000001" customHeight="1">
      <c r="C7" s="283">
        <v>1</v>
      </c>
      <c r="D7" s="286" t="s">
        <v>1976</v>
      </c>
      <c r="E7" s="286" t="s">
        <v>1976</v>
      </c>
      <c r="F7" s="283">
        <v>1</v>
      </c>
      <c r="G7" s="283">
        <v>1</v>
      </c>
      <c r="H7" s="286" t="str">
        <f t="shared" ref="H7:H52" si="0">MID(TEXT(C7,"000"),1,40)&amp;"."&amp;D7</f>
        <v>001.Dashboard</v>
      </c>
    </row>
    <row r="8" spans="2:8" ht="20.100000000000001" customHeight="1">
      <c r="C8" s="283">
        <v>2</v>
      </c>
      <c r="D8" s="286" t="s">
        <v>1977</v>
      </c>
      <c r="E8" s="286" t="s">
        <v>1977</v>
      </c>
      <c r="F8" s="283">
        <v>2</v>
      </c>
      <c r="G8" s="283">
        <v>1</v>
      </c>
      <c r="H8" s="286" t="str">
        <f t="shared" si="0"/>
        <v>002.Home Page</v>
      </c>
    </row>
    <row r="9" spans="2:8" ht="20.100000000000001" customHeight="1">
      <c r="C9" s="283">
        <v>3</v>
      </c>
      <c r="D9" s="286" t="s">
        <v>525</v>
      </c>
      <c r="E9" s="286" t="s">
        <v>290</v>
      </c>
      <c r="F9" s="283">
        <v>3</v>
      </c>
      <c r="G9" s="283">
        <v>1</v>
      </c>
      <c r="H9" s="286" t="str">
        <f t="shared" si="0"/>
        <v>003.Product/Service</v>
      </c>
    </row>
    <row r="10" spans="2:8" ht="20.100000000000001" customHeight="1">
      <c r="C10" s="283">
        <v>4</v>
      </c>
      <c r="D10" s="286" t="s">
        <v>1978</v>
      </c>
      <c r="E10" s="286" t="s">
        <v>290</v>
      </c>
      <c r="F10" s="283">
        <v>4</v>
      </c>
      <c r="G10" s="283">
        <v>1</v>
      </c>
      <c r="H10" s="286" t="str">
        <f t="shared" si="0"/>
        <v>004.Inventory Adjustment</v>
      </c>
    </row>
    <row r="11" spans="2:8" ht="20.100000000000001" customHeight="1">
      <c r="C11" s="283">
        <v>5</v>
      </c>
      <c r="D11" s="286" t="s">
        <v>1979</v>
      </c>
      <c r="E11" s="286" t="s">
        <v>290</v>
      </c>
      <c r="F11" s="283">
        <v>5</v>
      </c>
      <c r="G11" s="283">
        <v>1</v>
      </c>
      <c r="H11" s="286" t="str">
        <f t="shared" si="0"/>
        <v>005.Tranfer Order</v>
      </c>
    </row>
    <row r="12" spans="2:8" ht="20.100000000000001" customHeight="1">
      <c r="C12" s="283">
        <v>6</v>
      </c>
      <c r="D12" s="286" t="s">
        <v>1980</v>
      </c>
      <c r="E12" s="286" t="s">
        <v>290</v>
      </c>
      <c r="F12" s="283">
        <v>6</v>
      </c>
      <c r="G12" s="283">
        <v>1</v>
      </c>
      <c r="H12" s="286" t="str">
        <f t="shared" si="0"/>
        <v>006.Goods Mixes</v>
      </c>
    </row>
    <row r="13" spans="2:8" ht="20.100000000000001" customHeight="1">
      <c r="C13" s="283">
        <v>7</v>
      </c>
      <c r="D13" s="286" t="s">
        <v>1981</v>
      </c>
      <c r="E13" s="286" t="s">
        <v>290</v>
      </c>
      <c r="F13" s="283">
        <v>7</v>
      </c>
      <c r="G13" s="283">
        <v>1</v>
      </c>
      <c r="H13" s="286" t="str">
        <f t="shared" si="0"/>
        <v>007.Transfer Receive</v>
      </c>
    </row>
    <row r="14" spans="2:8" ht="20.100000000000001" customHeight="1">
      <c r="C14" s="283">
        <v>8</v>
      </c>
      <c r="D14" s="286" t="s">
        <v>521</v>
      </c>
      <c r="E14" s="286" t="s">
        <v>527</v>
      </c>
      <c r="F14" s="283">
        <v>8</v>
      </c>
      <c r="G14" s="283">
        <v>1</v>
      </c>
      <c r="H14" s="286" t="str">
        <f t="shared" si="0"/>
        <v>008.Vendor</v>
      </c>
    </row>
    <row r="15" spans="2:8" ht="20.100000000000001" customHeight="1">
      <c r="C15" s="283">
        <v>9</v>
      </c>
      <c r="D15" s="286" t="s">
        <v>1982</v>
      </c>
      <c r="E15" s="286" t="s">
        <v>527</v>
      </c>
      <c r="F15" s="283">
        <v>9</v>
      </c>
      <c r="G15" s="283">
        <v>1</v>
      </c>
      <c r="H15" s="286" t="str">
        <f t="shared" si="0"/>
        <v>009.Purchase Order</v>
      </c>
    </row>
    <row r="16" spans="2:8" ht="20.100000000000001" customHeight="1">
      <c r="C16" s="283">
        <v>10</v>
      </c>
      <c r="D16" s="286" t="s">
        <v>1983</v>
      </c>
      <c r="E16" s="286" t="s">
        <v>527</v>
      </c>
      <c r="F16" s="283">
        <v>10</v>
      </c>
      <c r="G16" s="283">
        <v>1</v>
      </c>
      <c r="H16" s="286" t="str">
        <f t="shared" si="0"/>
        <v>010.Goods Receipt Note</v>
      </c>
    </row>
    <row r="17" spans="3:8" ht="20.100000000000001" customHeight="1">
      <c r="C17" s="283">
        <v>11</v>
      </c>
      <c r="D17" s="286" t="s">
        <v>1984</v>
      </c>
      <c r="E17" s="286" t="s">
        <v>527</v>
      </c>
      <c r="F17" s="283">
        <v>11</v>
      </c>
      <c r="G17" s="283">
        <v>1</v>
      </c>
      <c r="H17" s="286" t="str">
        <f t="shared" si="0"/>
        <v>011.Purchase Bill</v>
      </c>
    </row>
    <row r="18" spans="3:8" ht="20.100000000000001" customHeight="1">
      <c r="C18" s="283">
        <v>12</v>
      </c>
      <c r="D18" s="286" t="s">
        <v>1985</v>
      </c>
      <c r="E18" s="286" t="s">
        <v>527</v>
      </c>
      <c r="F18" s="283">
        <v>12</v>
      </c>
      <c r="G18" s="283">
        <v>1</v>
      </c>
      <c r="H18" s="286" t="str">
        <f t="shared" si="0"/>
        <v>012.Pay Bills</v>
      </c>
    </row>
    <row r="19" spans="3:8" ht="20.100000000000001" customHeight="1">
      <c r="C19" s="283">
        <v>13</v>
      </c>
      <c r="D19" s="286" t="s">
        <v>1986</v>
      </c>
      <c r="E19" s="286" t="s">
        <v>527</v>
      </c>
      <c r="F19" s="283">
        <v>13</v>
      </c>
      <c r="G19" s="283">
        <v>1</v>
      </c>
      <c r="H19" s="286" t="str">
        <f t="shared" si="0"/>
        <v>013.Purchase Return</v>
      </c>
    </row>
    <row r="20" spans="3:8" ht="20.100000000000001" customHeight="1">
      <c r="C20" s="283">
        <v>14</v>
      </c>
      <c r="D20" s="286" t="s">
        <v>529</v>
      </c>
      <c r="E20" s="286" t="s">
        <v>527</v>
      </c>
      <c r="F20" s="283">
        <v>14</v>
      </c>
      <c r="G20" s="283">
        <v>1</v>
      </c>
      <c r="H20" s="286" t="str">
        <f t="shared" si="0"/>
        <v>014.Cash Expense</v>
      </c>
    </row>
    <row r="21" spans="3:8" ht="20.100000000000001" customHeight="1">
      <c r="C21" s="283">
        <v>15</v>
      </c>
      <c r="D21" s="286" t="s">
        <v>1987</v>
      </c>
      <c r="E21" s="286" t="s">
        <v>527</v>
      </c>
      <c r="F21" s="283">
        <v>15</v>
      </c>
      <c r="G21" s="283">
        <v>1</v>
      </c>
      <c r="H21" s="286" t="str">
        <f t="shared" si="0"/>
        <v>015.Landing Cost</v>
      </c>
    </row>
    <row r="22" spans="3:8" ht="20.100000000000001" customHeight="1">
      <c r="C22" s="283">
        <v>16</v>
      </c>
      <c r="D22" s="286" t="s">
        <v>1988</v>
      </c>
      <c r="E22" s="286" t="s">
        <v>291</v>
      </c>
      <c r="F22" s="283">
        <v>16</v>
      </c>
      <c r="G22" s="283">
        <v>1</v>
      </c>
      <c r="H22" s="286" t="str">
        <f t="shared" si="0"/>
        <v>016.Quotation</v>
      </c>
    </row>
    <row r="23" spans="3:8" ht="20.100000000000001" customHeight="1">
      <c r="C23" s="283">
        <v>17</v>
      </c>
      <c r="D23" s="286" t="s">
        <v>1989</v>
      </c>
      <c r="E23" s="286" t="s">
        <v>291</v>
      </c>
      <c r="F23" s="283">
        <v>17</v>
      </c>
      <c r="G23" s="283">
        <v>1</v>
      </c>
      <c r="H23" s="286" t="str">
        <f t="shared" si="0"/>
        <v>017.Sales Order</v>
      </c>
    </row>
    <row r="24" spans="3:8" ht="20.100000000000001" customHeight="1">
      <c r="C24" s="283">
        <v>18</v>
      </c>
      <c r="D24" s="286" t="s">
        <v>1990</v>
      </c>
      <c r="E24" s="286" t="s">
        <v>291</v>
      </c>
      <c r="F24" s="283">
        <v>18</v>
      </c>
      <c r="G24" s="283">
        <v>1</v>
      </c>
      <c r="H24" s="286" t="str">
        <f t="shared" si="0"/>
        <v>018.Delivery Note</v>
      </c>
    </row>
    <row r="25" spans="3:8" ht="20.100000000000001" customHeight="1">
      <c r="C25" s="283">
        <v>19</v>
      </c>
      <c r="D25" s="286" t="s">
        <v>1991</v>
      </c>
      <c r="E25" s="286" t="s">
        <v>291</v>
      </c>
      <c r="F25" s="283">
        <v>19</v>
      </c>
      <c r="G25" s="283">
        <v>1</v>
      </c>
      <c r="H25" s="286" t="str">
        <f t="shared" si="0"/>
        <v>019.Sales / Invoice</v>
      </c>
    </row>
    <row r="26" spans="3:8" ht="20.100000000000001" customHeight="1">
      <c r="C26" s="283">
        <v>20</v>
      </c>
      <c r="D26" s="286" t="s">
        <v>1992</v>
      </c>
      <c r="E26" s="286" t="s">
        <v>291</v>
      </c>
      <c r="F26" s="283">
        <v>20</v>
      </c>
      <c r="G26" s="283">
        <v>1</v>
      </c>
      <c r="H26" s="286" t="str">
        <f t="shared" si="0"/>
        <v>020.Receive Payments</v>
      </c>
    </row>
    <row r="27" spans="3:8" ht="20.100000000000001" customHeight="1">
      <c r="C27" s="283">
        <v>21</v>
      </c>
      <c r="D27" s="286" t="s">
        <v>1993</v>
      </c>
      <c r="E27" s="286" t="s">
        <v>291</v>
      </c>
      <c r="F27" s="283">
        <v>21</v>
      </c>
      <c r="G27" s="283">
        <v>1</v>
      </c>
      <c r="H27" s="286" t="str">
        <f t="shared" si="0"/>
        <v>021.Sales Return</v>
      </c>
    </row>
    <row r="28" spans="3:8" ht="20.100000000000001" customHeight="1">
      <c r="C28" s="283">
        <v>22</v>
      </c>
      <c r="D28" s="286" t="s">
        <v>520</v>
      </c>
      <c r="E28" s="286" t="s">
        <v>291</v>
      </c>
      <c r="F28" s="283">
        <v>22</v>
      </c>
      <c r="G28" s="283">
        <v>1</v>
      </c>
      <c r="H28" s="286" t="str">
        <f t="shared" si="0"/>
        <v>022.Customer</v>
      </c>
    </row>
    <row r="29" spans="3:8" ht="20.100000000000001" customHeight="1">
      <c r="C29" s="283">
        <v>23</v>
      </c>
      <c r="D29" s="286" t="s">
        <v>1994</v>
      </c>
      <c r="E29" s="286" t="s">
        <v>291</v>
      </c>
      <c r="F29" s="283">
        <v>23</v>
      </c>
      <c r="G29" s="283">
        <v>1</v>
      </c>
      <c r="H29" s="286" t="str">
        <f t="shared" si="0"/>
        <v>023.Discount Promotional</v>
      </c>
    </row>
    <row r="30" spans="3:8" ht="20.100000000000001" customHeight="1">
      <c r="C30" s="283">
        <v>24</v>
      </c>
      <c r="D30" s="286" t="s">
        <v>1995</v>
      </c>
      <c r="E30" s="286" t="s">
        <v>1996</v>
      </c>
      <c r="F30" s="283">
        <v>24</v>
      </c>
      <c r="G30" s="283">
        <v>1</v>
      </c>
      <c r="H30" s="286" t="str">
        <f t="shared" si="0"/>
        <v>024.Point Of Sales</v>
      </c>
    </row>
    <row r="31" spans="3:8" ht="20.100000000000001" customHeight="1">
      <c r="C31" s="283">
        <v>25</v>
      </c>
      <c r="D31" s="286" t="s">
        <v>1997</v>
      </c>
      <c r="E31" s="286" t="s">
        <v>1996</v>
      </c>
      <c r="F31" s="283">
        <v>25</v>
      </c>
      <c r="G31" s="283">
        <v>1</v>
      </c>
      <c r="H31" s="286" t="str">
        <f t="shared" si="0"/>
        <v>025.Shift Control</v>
      </c>
    </row>
    <row r="32" spans="3:8" ht="20.100000000000001" customHeight="1">
      <c r="C32" s="283">
        <v>26</v>
      </c>
      <c r="D32" s="286" t="s">
        <v>1998</v>
      </c>
      <c r="E32" s="286" t="s">
        <v>1996</v>
      </c>
      <c r="F32" s="283">
        <v>26</v>
      </c>
      <c r="G32" s="283">
        <v>1</v>
      </c>
      <c r="H32" s="286" t="str">
        <f t="shared" si="0"/>
        <v>026.Shift Collect Cash</v>
      </c>
    </row>
    <row r="33" spans="3:8" ht="20.100000000000001" customHeight="1">
      <c r="C33" s="283">
        <v>27</v>
      </c>
      <c r="D33" s="286" t="s">
        <v>1999</v>
      </c>
      <c r="E33" s="286" t="s">
        <v>292</v>
      </c>
      <c r="F33" s="283">
        <v>27</v>
      </c>
      <c r="G33" s="283">
        <v>1</v>
      </c>
      <c r="H33" s="286" t="str">
        <f t="shared" si="0"/>
        <v>027.Journal Entry</v>
      </c>
    </row>
    <row r="34" spans="3:8" ht="20.100000000000001" customHeight="1">
      <c r="C34" s="283">
        <v>28</v>
      </c>
      <c r="D34" s="286" t="s">
        <v>2000</v>
      </c>
      <c r="E34" s="286" t="s">
        <v>292</v>
      </c>
      <c r="F34" s="283">
        <v>28</v>
      </c>
      <c r="G34" s="283">
        <v>1</v>
      </c>
      <c r="H34" s="286" t="str">
        <f t="shared" si="0"/>
        <v>028.Receive Payment Journal</v>
      </c>
    </row>
    <row r="35" spans="3:8" ht="20.100000000000001" customHeight="1">
      <c r="C35" s="283">
        <v>29</v>
      </c>
      <c r="D35" s="286" t="s">
        <v>2001</v>
      </c>
      <c r="E35" s="286" t="s">
        <v>292</v>
      </c>
      <c r="F35" s="283">
        <v>29</v>
      </c>
      <c r="G35" s="283">
        <v>1</v>
      </c>
      <c r="H35" s="286" t="str">
        <f t="shared" si="0"/>
        <v>029.Pay Bill Journal</v>
      </c>
    </row>
    <row r="36" spans="3:8" ht="20.100000000000001" customHeight="1">
      <c r="C36" s="283">
        <v>30</v>
      </c>
      <c r="D36" s="286" t="s">
        <v>2002</v>
      </c>
      <c r="E36" s="286" t="s">
        <v>292</v>
      </c>
      <c r="F36" s="283">
        <v>30</v>
      </c>
      <c r="G36" s="283">
        <v>1</v>
      </c>
      <c r="H36" s="286" t="str">
        <f t="shared" si="0"/>
        <v>030.Reconcil</v>
      </c>
    </row>
    <row r="37" spans="3:8" ht="20.100000000000001" customHeight="1">
      <c r="C37" s="283">
        <v>31</v>
      </c>
      <c r="D37" s="286" t="s">
        <v>2003</v>
      </c>
      <c r="E37" s="286" t="s">
        <v>292</v>
      </c>
      <c r="F37" s="283">
        <v>31</v>
      </c>
      <c r="G37" s="283">
        <v>1</v>
      </c>
      <c r="H37" s="286" t="str">
        <f t="shared" si="0"/>
        <v>031.Fixed Asset</v>
      </c>
    </row>
    <row r="38" spans="3:8" ht="20.100000000000001" customHeight="1">
      <c r="C38" s="283">
        <v>32</v>
      </c>
      <c r="D38" s="286" t="s">
        <v>2004</v>
      </c>
      <c r="E38" s="286" t="s">
        <v>293</v>
      </c>
      <c r="F38" s="283">
        <v>32</v>
      </c>
      <c r="G38" s="283">
        <v>1</v>
      </c>
      <c r="H38" s="286" t="str">
        <f t="shared" si="0"/>
        <v>032.Customer Balance</v>
      </c>
    </row>
    <row r="39" spans="3:8" ht="20.100000000000001" customHeight="1">
      <c r="C39" s="283">
        <v>33</v>
      </c>
      <c r="D39" s="286" t="s">
        <v>2005</v>
      </c>
      <c r="E39" s="286" t="s">
        <v>293</v>
      </c>
      <c r="F39" s="283">
        <v>33</v>
      </c>
      <c r="G39" s="283">
        <v>1</v>
      </c>
      <c r="H39" s="286" t="str">
        <f t="shared" si="0"/>
        <v>033.Sales Transaction</v>
      </c>
    </row>
    <row r="40" spans="3:8" ht="20.100000000000001" customHeight="1">
      <c r="C40" s="283">
        <v>34</v>
      </c>
      <c r="D40" s="286" t="s">
        <v>2006</v>
      </c>
      <c r="E40" s="286" t="s">
        <v>293</v>
      </c>
      <c r="F40" s="283">
        <v>34</v>
      </c>
      <c r="G40" s="283">
        <v>1</v>
      </c>
      <c r="H40" s="286" t="str">
        <f t="shared" si="0"/>
        <v>034.Vendor Balance</v>
      </c>
    </row>
    <row r="41" spans="3:8" ht="20.100000000000001" customHeight="1">
      <c r="C41" s="283">
        <v>35</v>
      </c>
      <c r="D41" s="286" t="s">
        <v>2007</v>
      </c>
      <c r="E41" s="286" t="s">
        <v>293</v>
      </c>
      <c r="F41" s="283">
        <v>35</v>
      </c>
      <c r="G41" s="283">
        <v>1</v>
      </c>
      <c r="H41" s="286" t="str">
        <f t="shared" si="0"/>
        <v>035.Purchase Transaction</v>
      </c>
    </row>
    <row r="42" spans="3:8" ht="20.100000000000001" customHeight="1">
      <c r="C42" s="283">
        <v>36</v>
      </c>
      <c r="D42" s="286" t="s">
        <v>2008</v>
      </c>
      <c r="E42" s="286" t="s">
        <v>293</v>
      </c>
      <c r="F42" s="283">
        <v>36</v>
      </c>
      <c r="G42" s="283">
        <v>1</v>
      </c>
      <c r="H42" s="286" t="str">
        <f t="shared" si="0"/>
        <v>036.Stock/Inventory</v>
      </c>
    </row>
    <row r="43" spans="3:8" ht="20.100000000000001" customHeight="1">
      <c r="C43" s="283">
        <v>37</v>
      </c>
      <c r="D43" s="286" t="s">
        <v>2009</v>
      </c>
      <c r="E43" s="286" t="s">
        <v>293</v>
      </c>
      <c r="F43" s="283">
        <v>37</v>
      </c>
      <c r="G43" s="283">
        <v>1</v>
      </c>
      <c r="H43" s="286" t="str">
        <f t="shared" si="0"/>
        <v>037.Financial</v>
      </c>
    </row>
    <row r="44" spans="3:8" ht="20.100000000000001" customHeight="1">
      <c r="C44" s="283">
        <v>38</v>
      </c>
      <c r="D44" s="286" t="s">
        <v>2010</v>
      </c>
      <c r="E44" s="286" t="s">
        <v>293</v>
      </c>
      <c r="F44" s="283">
        <v>38</v>
      </c>
      <c r="G44" s="283">
        <v>1</v>
      </c>
      <c r="H44" s="286" t="str">
        <f t="shared" si="0"/>
        <v>038.List</v>
      </c>
    </row>
    <row r="45" spans="3:8" ht="20.100000000000001" customHeight="1">
      <c r="C45" s="283">
        <v>39</v>
      </c>
      <c r="D45" s="286" t="s">
        <v>2011</v>
      </c>
      <c r="E45" s="286" t="s">
        <v>293</v>
      </c>
      <c r="F45" s="283">
        <v>39</v>
      </c>
      <c r="G45" s="283">
        <v>1</v>
      </c>
      <c r="H45" s="286" t="str">
        <f t="shared" si="0"/>
        <v>039.User</v>
      </c>
    </row>
    <row r="46" spans="3:8" ht="20.100000000000001" customHeight="1">
      <c r="C46" s="283">
        <v>40</v>
      </c>
      <c r="D46" s="286" t="s">
        <v>290</v>
      </c>
      <c r="E46" s="286" t="s">
        <v>2012</v>
      </c>
      <c r="F46" s="283">
        <v>40</v>
      </c>
      <c r="G46" s="283">
        <v>1</v>
      </c>
      <c r="H46" s="286" t="str">
        <f t="shared" si="0"/>
        <v>040.Inventory</v>
      </c>
    </row>
    <row r="47" spans="3:8" ht="20.100000000000001" customHeight="1">
      <c r="C47" s="283">
        <v>41</v>
      </c>
      <c r="D47" s="286" t="s">
        <v>527</v>
      </c>
      <c r="E47" s="286" t="s">
        <v>2012</v>
      </c>
      <c r="F47" s="283">
        <v>41</v>
      </c>
      <c r="G47" s="283">
        <v>1</v>
      </c>
      <c r="H47" s="286" t="str">
        <f t="shared" si="0"/>
        <v>041.Purchase</v>
      </c>
    </row>
    <row r="48" spans="3:8" ht="20.100000000000001" customHeight="1">
      <c r="C48" s="283">
        <v>42</v>
      </c>
      <c r="D48" s="286" t="s">
        <v>291</v>
      </c>
      <c r="E48" s="286" t="s">
        <v>2012</v>
      </c>
      <c r="F48" s="283">
        <v>42</v>
      </c>
      <c r="G48" s="283">
        <v>1</v>
      </c>
      <c r="H48" s="286" t="str">
        <f t="shared" si="0"/>
        <v>042.Sales</v>
      </c>
    </row>
    <row r="49" spans="3:8" ht="20.100000000000001" customHeight="1">
      <c r="C49" s="283">
        <v>43</v>
      </c>
      <c r="D49" s="286" t="s">
        <v>1996</v>
      </c>
      <c r="E49" s="286" t="s">
        <v>2012</v>
      </c>
      <c r="F49" s="283">
        <v>43</v>
      </c>
      <c r="G49" s="283">
        <v>1</v>
      </c>
      <c r="H49" s="286" t="str">
        <f t="shared" si="0"/>
        <v>043.POS</v>
      </c>
    </row>
    <row r="50" spans="3:8" ht="20.100000000000001" customHeight="1">
      <c r="C50" s="283">
        <v>44</v>
      </c>
      <c r="D50" s="286" t="s">
        <v>292</v>
      </c>
      <c r="E50" s="286" t="s">
        <v>2012</v>
      </c>
      <c r="F50" s="283">
        <v>44</v>
      </c>
      <c r="G50" s="283">
        <v>1</v>
      </c>
      <c r="H50" s="286" t="str">
        <f t="shared" si="0"/>
        <v>044.Accounting</v>
      </c>
    </row>
    <row r="51" spans="3:8" ht="20.100000000000001" customHeight="1">
      <c r="C51" s="283">
        <v>45</v>
      </c>
      <c r="D51" s="286" t="s">
        <v>528</v>
      </c>
      <c r="E51" s="286" t="s">
        <v>2012</v>
      </c>
      <c r="F51" s="283">
        <v>45</v>
      </c>
      <c r="G51" s="283">
        <v>1</v>
      </c>
      <c r="H51" s="286" t="str">
        <f t="shared" si="0"/>
        <v>045.General Setting</v>
      </c>
    </row>
    <row r="52" spans="3:8" ht="20.100000000000001" customHeight="1">
      <c r="C52" s="283">
        <v>46</v>
      </c>
      <c r="D52" s="286" t="s">
        <v>2012</v>
      </c>
      <c r="E52" s="286" t="s">
        <v>2012</v>
      </c>
      <c r="F52" s="283">
        <v>46</v>
      </c>
      <c r="G52" s="283">
        <v>1</v>
      </c>
      <c r="H52" s="286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5586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104775</xdr:colOff>
                    <xdr:row>1</xdr:row>
                    <xdr:rowOff>114300</xdr:rowOff>
                  </from>
                  <to>
                    <xdr:col>3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01" activePane="bottomLeft" state="frozen"/>
      <selection pane="bottomLeft" activeCell="K8" sqref="K8"/>
    </sheetView>
  </sheetViews>
  <sheetFormatPr defaultRowHeight="23.25"/>
  <cols>
    <col min="1" max="3" width="9.140625" style="126"/>
    <col min="4" max="4" width="10.85546875" style="249" customWidth="1"/>
    <col min="5" max="5" width="16" style="126" customWidth="1"/>
    <col min="6" max="6" width="52" style="127" bestFit="1" customWidth="1"/>
    <col min="7" max="7" width="37.5703125" style="243" customWidth="1"/>
    <col min="8" max="8" width="36.5703125" style="243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458" customFormat="1" ht="44.25">
      <c r="C3" s="1602" t="s">
        <v>1698</v>
      </c>
      <c r="D3" s="1602"/>
      <c r="E3" s="1602"/>
      <c r="F3" s="1602"/>
      <c r="G3" s="1602"/>
      <c r="H3" s="1602"/>
      <c r="I3" s="1602"/>
    </row>
    <row r="4" spans="3:27" ht="3" customHeight="1"/>
    <row r="5" spans="3:27" ht="25.5">
      <c r="C5" s="304" t="s">
        <v>59</v>
      </c>
      <c r="D5" s="304" t="s">
        <v>409</v>
      </c>
      <c r="E5" s="304" t="s">
        <v>518</v>
      </c>
      <c r="F5" s="304" t="s">
        <v>410</v>
      </c>
      <c r="G5" s="452" t="s">
        <v>519</v>
      </c>
      <c r="H5" s="452" t="s">
        <v>820</v>
      </c>
      <c r="I5" s="452" t="s">
        <v>229</v>
      </c>
      <c r="J5" s="454"/>
      <c r="K5" s="454"/>
      <c r="L5" s="454"/>
      <c r="M5" s="455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5"/>
      <c r="Z5" s="454"/>
      <c r="AA5" s="454"/>
    </row>
    <row r="6" spans="3:27" ht="13.5" customHeight="1">
      <c r="C6" s="303" t="s">
        <v>10</v>
      </c>
      <c r="D6" s="303" t="s">
        <v>136</v>
      </c>
      <c r="E6" s="303" t="s">
        <v>517</v>
      </c>
      <c r="F6" s="303" t="s">
        <v>425</v>
      </c>
      <c r="G6" s="453" t="s">
        <v>424</v>
      </c>
      <c r="H6" s="453" t="s">
        <v>819</v>
      </c>
      <c r="I6" s="453" t="s">
        <v>532</v>
      </c>
      <c r="J6" s="456"/>
      <c r="K6" s="456"/>
      <c r="L6" s="456"/>
      <c r="M6" s="457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7"/>
      <c r="Z6" s="456"/>
      <c r="AA6" s="456"/>
    </row>
    <row r="7" spans="3:27">
      <c r="C7" s="283">
        <v>1</v>
      </c>
      <c r="D7" s="282" t="s">
        <v>426</v>
      </c>
      <c r="E7" s="283">
        <f>MID(I7,1,3)*1</f>
        <v>3</v>
      </c>
      <c r="F7" s="285" t="s">
        <v>918</v>
      </c>
      <c r="G7" s="459" t="s">
        <v>542</v>
      </c>
      <c r="H7" s="459" t="s">
        <v>1481</v>
      </c>
      <c r="I7" s="286" t="s">
        <v>533</v>
      </c>
    </row>
    <row r="8" spans="3:27">
      <c r="C8" s="283">
        <v>2</v>
      </c>
      <c r="D8" s="282" t="s">
        <v>427</v>
      </c>
      <c r="E8" s="283">
        <f t="shared" ref="E8:E71" si="0">MID(I8,1,3)*1</f>
        <v>3</v>
      </c>
      <c r="F8" s="285" t="s">
        <v>130</v>
      </c>
      <c r="G8" s="459" t="s">
        <v>132</v>
      </c>
      <c r="H8" s="459" t="s">
        <v>1482</v>
      </c>
      <c r="I8" s="286" t="s">
        <v>533</v>
      </c>
    </row>
    <row r="9" spans="3:27">
      <c r="C9" s="283">
        <v>3</v>
      </c>
      <c r="D9" s="282" t="s">
        <v>428</v>
      </c>
      <c r="E9" s="283">
        <f t="shared" si="0"/>
        <v>3</v>
      </c>
      <c r="F9" s="285" t="s">
        <v>543</v>
      </c>
      <c r="G9" s="459" t="s">
        <v>543</v>
      </c>
      <c r="H9" s="459" t="s">
        <v>1483</v>
      </c>
      <c r="I9" s="286" t="s">
        <v>533</v>
      </c>
    </row>
    <row r="10" spans="3:27">
      <c r="C10" s="283">
        <v>4</v>
      </c>
      <c r="D10" s="282" t="s">
        <v>429</v>
      </c>
      <c r="E10" s="283">
        <f t="shared" si="0"/>
        <v>3</v>
      </c>
      <c r="F10" s="285" t="s">
        <v>919</v>
      </c>
      <c r="G10" s="459" t="s">
        <v>544</v>
      </c>
      <c r="H10" s="459" t="s">
        <v>1484</v>
      </c>
      <c r="I10" s="286" t="s">
        <v>533</v>
      </c>
    </row>
    <row r="11" spans="3:27">
      <c r="C11" s="283">
        <v>5</v>
      </c>
      <c r="D11" s="282" t="s">
        <v>430</v>
      </c>
      <c r="E11" s="283">
        <f t="shared" si="0"/>
        <v>3</v>
      </c>
      <c r="F11" s="285" t="s">
        <v>1006</v>
      </c>
      <c r="G11" s="459" t="s">
        <v>576</v>
      </c>
      <c r="H11" s="459" t="s">
        <v>1485</v>
      </c>
      <c r="I11" s="286" t="s">
        <v>533</v>
      </c>
    </row>
    <row r="12" spans="3:27">
      <c r="C12" s="283">
        <v>6</v>
      </c>
      <c r="D12" s="282" t="s">
        <v>431</v>
      </c>
      <c r="E12" s="283">
        <f t="shared" si="0"/>
        <v>3</v>
      </c>
      <c r="F12" s="285" t="s">
        <v>920</v>
      </c>
      <c r="G12" s="459" t="s">
        <v>577</v>
      </c>
      <c r="H12" s="459" t="s">
        <v>1486</v>
      </c>
      <c r="I12" s="286" t="s">
        <v>533</v>
      </c>
    </row>
    <row r="13" spans="3:27">
      <c r="C13" s="283">
        <v>7</v>
      </c>
      <c r="D13" s="282" t="s">
        <v>432</v>
      </c>
      <c r="E13" s="283">
        <f t="shared" si="0"/>
        <v>3</v>
      </c>
      <c r="F13" s="285" t="s">
        <v>921</v>
      </c>
      <c r="G13" s="459" t="s">
        <v>550</v>
      </c>
      <c r="H13" s="459" t="s">
        <v>1487</v>
      </c>
      <c r="I13" s="286" t="s">
        <v>533</v>
      </c>
    </row>
    <row r="14" spans="3:27">
      <c r="C14" s="283">
        <v>8</v>
      </c>
      <c r="D14" s="282" t="s">
        <v>433</v>
      </c>
      <c r="E14" s="283">
        <f t="shared" si="0"/>
        <v>3</v>
      </c>
      <c r="F14" s="285" t="s">
        <v>922</v>
      </c>
      <c r="G14" s="459" t="s">
        <v>525</v>
      </c>
      <c r="H14" s="459" t="s">
        <v>1488</v>
      </c>
      <c r="I14" s="286" t="s">
        <v>533</v>
      </c>
    </row>
    <row r="15" spans="3:27">
      <c r="C15" s="283">
        <v>9</v>
      </c>
      <c r="D15" s="282" t="s">
        <v>434</v>
      </c>
      <c r="E15" s="283">
        <f t="shared" si="0"/>
        <v>3</v>
      </c>
      <c r="F15" s="285" t="s">
        <v>923</v>
      </c>
      <c r="G15" s="459" t="s">
        <v>551</v>
      </c>
      <c r="H15" s="459" t="s">
        <v>1489</v>
      </c>
      <c r="I15" s="286" t="s">
        <v>533</v>
      </c>
    </row>
    <row r="16" spans="3:27">
      <c r="C16" s="283">
        <v>10</v>
      </c>
      <c r="D16" s="282" t="s">
        <v>435</v>
      </c>
      <c r="E16" s="283">
        <f t="shared" si="0"/>
        <v>3</v>
      </c>
      <c r="F16" s="285" t="s">
        <v>924</v>
      </c>
      <c r="G16" s="459" t="s">
        <v>552</v>
      </c>
      <c r="H16" s="459" t="s">
        <v>1490</v>
      </c>
      <c r="I16" s="286" t="s">
        <v>533</v>
      </c>
    </row>
    <row r="17" spans="3:9">
      <c r="C17" s="283">
        <v>11</v>
      </c>
      <c r="D17" s="282" t="s">
        <v>436</v>
      </c>
      <c r="E17" s="283">
        <f t="shared" si="0"/>
        <v>3</v>
      </c>
      <c r="F17" s="285" t="s">
        <v>925</v>
      </c>
      <c r="G17" s="459" t="s">
        <v>553</v>
      </c>
      <c r="H17" s="459" t="s">
        <v>1491</v>
      </c>
      <c r="I17" s="286" t="s">
        <v>533</v>
      </c>
    </row>
    <row r="18" spans="3:9">
      <c r="C18" s="283">
        <v>12</v>
      </c>
      <c r="D18" s="282" t="s">
        <v>437</v>
      </c>
      <c r="E18" s="283">
        <f t="shared" si="0"/>
        <v>3</v>
      </c>
      <c r="F18" s="285" t="s">
        <v>926</v>
      </c>
      <c r="G18" s="459" t="s">
        <v>554</v>
      </c>
      <c r="H18" s="459" t="s">
        <v>1492</v>
      </c>
      <c r="I18" s="286" t="s">
        <v>533</v>
      </c>
    </row>
    <row r="19" spans="3:9" ht="30">
      <c r="C19" s="283">
        <v>13</v>
      </c>
      <c r="D19" s="282" t="s">
        <v>438</v>
      </c>
      <c r="E19" s="283">
        <f t="shared" si="0"/>
        <v>3</v>
      </c>
      <c r="F19" s="285" t="s">
        <v>927</v>
      </c>
      <c r="G19" s="459" t="s">
        <v>555</v>
      </c>
      <c r="H19" s="459" t="s">
        <v>1493</v>
      </c>
      <c r="I19" s="286" t="s">
        <v>533</v>
      </c>
    </row>
    <row r="20" spans="3:9" ht="30">
      <c r="C20" s="283">
        <v>14</v>
      </c>
      <c r="D20" s="282" t="s">
        <v>439</v>
      </c>
      <c r="E20" s="283">
        <f t="shared" si="0"/>
        <v>3</v>
      </c>
      <c r="F20" s="285" t="s">
        <v>928</v>
      </c>
      <c r="G20" s="459" t="s">
        <v>559</v>
      </c>
      <c r="H20" s="459" t="s">
        <v>1494</v>
      </c>
      <c r="I20" s="286" t="s">
        <v>533</v>
      </c>
    </row>
    <row r="21" spans="3:9">
      <c r="C21" s="283">
        <v>15</v>
      </c>
      <c r="D21" s="282" t="s">
        <v>440</v>
      </c>
      <c r="E21" s="283">
        <f t="shared" si="0"/>
        <v>3</v>
      </c>
      <c r="F21" s="285" t="s">
        <v>929</v>
      </c>
      <c r="G21" s="459" t="s">
        <v>560</v>
      </c>
      <c r="H21" s="459" t="s">
        <v>1495</v>
      </c>
      <c r="I21" s="286" t="s">
        <v>533</v>
      </c>
    </row>
    <row r="22" spans="3:9">
      <c r="C22" s="283">
        <v>16</v>
      </c>
      <c r="D22" s="282" t="s">
        <v>441</v>
      </c>
      <c r="E22" s="283">
        <f t="shared" si="0"/>
        <v>3</v>
      </c>
      <c r="F22" s="285" t="s">
        <v>930</v>
      </c>
      <c r="G22" s="459" t="s">
        <v>545</v>
      </c>
      <c r="H22" s="459" t="s">
        <v>1496</v>
      </c>
      <c r="I22" s="286" t="s">
        <v>533</v>
      </c>
    </row>
    <row r="23" spans="3:9">
      <c r="C23" s="283">
        <v>17</v>
      </c>
      <c r="D23" s="282" t="s">
        <v>442</v>
      </c>
      <c r="E23" s="283">
        <f t="shared" si="0"/>
        <v>3</v>
      </c>
      <c r="F23" s="285" t="s">
        <v>931</v>
      </c>
      <c r="G23" s="459" t="s">
        <v>561</v>
      </c>
      <c r="H23" s="459" t="s">
        <v>1497</v>
      </c>
      <c r="I23" s="286" t="s">
        <v>533</v>
      </c>
    </row>
    <row r="24" spans="3:9">
      <c r="C24" s="283">
        <v>18</v>
      </c>
      <c r="D24" s="282" t="s">
        <v>443</v>
      </c>
      <c r="E24" s="283">
        <f t="shared" si="0"/>
        <v>3</v>
      </c>
      <c r="F24" s="285" t="s">
        <v>932</v>
      </c>
      <c r="G24" s="459" t="s">
        <v>562</v>
      </c>
      <c r="H24" s="459" t="s">
        <v>1498</v>
      </c>
      <c r="I24" s="286" t="s">
        <v>533</v>
      </c>
    </row>
    <row r="25" spans="3:9">
      <c r="C25" s="283">
        <v>19</v>
      </c>
      <c r="D25" s="282" t="s">
        <v>444</v>
      </c>
      <c r="E25" s="283">
        <f t="shared" si="0"/>
        <v>3</v>
      </c>
      <c r="F25" s="285" t="s">
        <v>933</v>
      </c>
      <c r="G25" s="459" t="s">
        <v>563</v>
      </c>
      <c r="H25" s="459" t="s">
        <v>1499</v>
      </c>
      <c r="I25" s="286" t="s">
        <v>533</v>
      </c>
    </row>
    <row r="26" spans="3:9">
      <c r="C26" s="283">
        <v>20</v>
      </c>
      <c r="D26" s="282" t="s">
        <v>445</v>
      </c>
      <c r="E26" s="283">
        <f t="shared" si="0"/>
        <v>3</v>
      </c>
      <c r="F26" s="285" t="s">
        <v>934</v>
      </c>
      <c r="G26" s="459" t="s">
        <v>564</v>
      </c>
      <c r="H26" s="459" t="s">
        <v>1500</v>
      </c>
      <c r="I26" s="286" t="s">
        <v>533</v>
      </c>
    </row>
    <row r="27" spans="3:9" ht="30">
      <c r="C27" s="283">
        <v>21</v>
      </c>
      <c r="D27" s="282" t="s">
        <v>446</v>
      </c>
      <c r="E27" s="283">
        <f t="shared" si="0"/>
        <v>40</v>
      </c>
      <c r="F27" s="285" t="s">
        <v>935</v>
      </c>
      <c r="G27" s="459" t="s">
        <v>565</v>
      </c>
      <c r="H27" s="459" t="s">
        <v>1501</v>
      </c>
      <c r="I27" s="286" t="s">
        <v>537</v>
      </c>
    </row>
    <row r="28" spans="3:9" ht="30">
      <c r="C28" s="283">
        <v>22</v>
      </c>
      <c r="D28" s="282" t="s">
        <v>447</v>
      </c>
      <c r="E28" s="283">
        <f t="shared" si="0"/>
        <v>40</v>
      </c>
      <c r="F28" s="285" t="s">
        <v>936</v>
      </c>
      <c r="G28" s="459" t="s">
        <v>566</v>
      </c>
      <c r="H28" s="459" t="s">
        <v>1502</v>
      </c>
      <c r="I28" s="286" t="s">
        <v>537</v>
      </c>
    </row>
    <row r="29" spans="3:9" ht="30">
      <c r="C29" s="283">
        <v>23</v>
      </c>
      <c r="D29" s="282" t="s">
        <v>448</v>
      </c>
      <c r="E29" s="283">
        <f t="shared" si="0"/>
        <v>40</v>
      </c>
      <c r="F29" s="285" t="s">
        <v>937</v>
      </c>
      <c r="G29" s="459" t="s">
        <v>592</v>
      </c>
      <c r="H29" s="459" t="s">
        <v>1503</v>
      </c>
      <c r="I29" s="286" t="s">
        <v>537</v>
      </c>
    </row>
    <row r="30" spans="3:9">
      <c r="C30" s="283">
        <v>24</v>
      </c>
      <c r="D30" s="282" t="s">
        <v>449</v>
      </c>
      <c r="E30" s="283">
        <f t="shared" si="0"/>
        <v>40</v>
      </c>
      <c r="F30" s="285" t="s">
        <v>938</v>
      </c>
      <c r="G30" s="459" t="s">
        <v>567</v>
      </c>
      <c r="H30" s="459" t="s">
        <v>1504</v>
      </c>
      <c r="I30" s="286" t="s">
        <v>537</v>
      </c>
    </row>
    <row r="31" spans="3:9">
      <c r="C31" s="283">
        <v>25</v>
      </c>
      <c r="D31" s="282" t="s">
        <v>450</v>
      </c>
      <c r="E31" s="283">
        <f t="shared" si="0"/>
        <v>40</v>
      </c>
      <c r="F31" s="285" t="s">
        <v>939</v>
      </c>
      <c r="G31" s="459" t="s">
        <v>546</v>
      </c>
      <c r="H31" s="459" t="s">
        <v>1505</v>
      </c>
      <c r="I31" s="286" t="s">
        <v>537</v>
      </c>
    </row>
    <row r="32" spans="3:9">
      <c r="C32" s="283">
        <v>26</v>
      </c>
      <c r="D32" s="282" t="s">
        <v>451</v>
      </c>
      <c r="E32" s="283">
        <f t="shared" si="0"/>
        <v>40</v>
      </c>
      <c r="F32" s="285" t="s">
        <v>940</v>
      </c>
      <c r="G32" s="459" t="s">
        <v>585</v>
      </c>
      <c r="H32" s="459" t="s">
        <v>1506</v>
      </c>
      <c r="I32" s="286" t="s">
        <v>537</v>
      </c>
    </row>
    <row r="33" spans="3:9">
      <c r="C33" s="283">
        <v>27</v>
      </c>
      <c r="D33" s="282" t="s">
        <v>452</v>
      </c>
      <c r="E33" s="283">
        <f t="shared" si="0"/>
        <v>40</v>
      </c>
      <c r="F33" s="285" t="s">
        <v>941</v>
      </c>
      <c r="G33" s="459" t="s">
        <v>568</v>
      </c>
      <c r="H33" s="459" t="s">
        <v>1507</v>
      </c>
      <c r="I33" s="286" t="s">
        <v>537</v>
      </c>
    </row>
    <row r="34" spans="3:9" ht="30">
      <c r="C34" s="283">
        <v>28</v>
      </c>
      <c r="D34" s="282" t="s">
        <v>453</v>
      </c>
      <c r="E34" s="283">
        <f t="shared" si="0"/>
        <v>40</v>
      </c>
      <c r="F34" s="285" t="s">
        <v>942</v>
      </c>
      <c r="G34" s="459" t="s">
        <v>569</v>
      </c>
      <c r="H34" s="459" t="s">
        <v>1508</v>
      </c>
      <c r="I34" s="286" t="s">
        <v>537</v>
      </c>
    </row>
    <row r="35" spans="3:9" ht="30">
      <c r="C35" s="283">
        <v>29</v>
      </c>
      <c r="D35" s="282" t="s">
        <v>454</v>
      </c>
      <c r="E35" s="283">
        <f t="shared" si="0"/>
        <v>40</v>
      </c>
      <c r="F35" s="285" t="s">
        <v>943</v>
      </c>
      <c r="G35" s="459" t="s">
        <v>591</v>
      </c>
      <c r="H35" s="459" t="s">
        <v>1509</v>
      </c>
      <c r="I35" s="286" t="s">
        <v>537</v>
      </c>
    </row>
    <row r="36" spans="3:9">
      <c r="C36" s="283">
        <v>30</v>
      </c>
      <c r="D36" s="282" t="s">
        <v>455</v>
      </c>
      <c r="E36" s="283">
        <f t="shared" si="0"/>
        <v>40</v>
      </c>
      <c r="F36" s="285" t="s">
        <v>944</v>
      </c>
      <c r="G36" s="459" t="s">
        <v>570</v>
      </c>
      <c r="H36" s="459" t="s">
        <v>1504</v>
      </c>
      <c r="I36" s="286" t="s">
        <v>537</v>
      </c>
    </row>
    <row r="37" spans="3:9">
      <c r="C37" s="283">
        <v>31</v>
      </c>
      <c r="D37" s="282" t="s">
        <v>456</v>
      </c>
      <c r="E37" s="283">
        <f t="shared" si="0"/>
        <v>40</v>
      </c>
      <c r="F37" s="285" t="s">
        <v>939</v>
      </c>
      <c r="G37" s="459" t="s">
        <v>547</v>
      </c>
      <c r="H37" s="459" t="s">
        <v>1505</v>
      </c>
      <c r="I37" s="286" t="s">
        <v>537</v>
      </c>
    </row>
    <row r="38" spans="3:9">
      <c r="C38" s="283">
        <v>32</v>
      </c>
      <c r="D38" s="282" t="s">
        <v>457</v>
      </c>
      <c r="E38" s="283">
        <f t="shared" si="0"/>
        <v>40</v>
      </c>
      <c r="F38" s="285" t="s">
        <v>945</v>
      </c>
      <c r="G38" s="459" t="s">
        <v>586</v>
      </c>
      <c r="H38" s="459" t="s">
        <v>1506</v>
      </c>
      <c r="I38" s="286" t="s">
        <v>537</v>
      </c>
    </row>
    <row r="39" spans="3:9">
      <c r="C39" s="283">
        <v>33</v>
      </c>
      <c r="D39" s="282" t="s">
        <v>458</v>
      </c>
      <c r="E39" s="283">
        <f t="shared" si="0"/>
        <v>40</v>
      </c>
      <c r="F39" s="285" t="s">
        <v>946</v>
      </c>
      <c r="G39" s="459" t="s">
        <v>571</v>
      </c>
      <c r="H39" s="459" t="s">
        <v>1507</v>
      </c>
      <c r="I39" s="286" t="s">
        <v>537</v>
      </c>
    </row>
    <row r="40" spans="3:9" ht="30">
      <c r="C40" s="283">
        <v>34</v>
      </c>
      <c r="D40" s="282" t="s">
        <v>459</v>
      </c>
      <c r="E40" s="283">
        <f t="shared" si="0"/>
        <v>40</v>
      </c>
      <c r="F40" s="285" t="s">
        <v>947</v>
      </c>
      <c r="G40" s="459" t="s">
        <v>572</v>
      </c>
      <c r="H40" s="459" t="s">
        <v>1508</v>
      </c>
      <c r="I40" s="286" t="s">
        <v>537</v>
      </c>
    </row>
    <row r="41" spans="3:9" ht="30">
      <c r="C41" s="283">
        <v>35</v>
      </c>
      <c r="D41" s="282" t="s">
        <v>460</v>
      </c>
      <c r="E41" s="283">
        <f t="shared" si="0"/>
        <v>40</v>
      </c>
      <c r="F41" s="285" t="s">
        <v>948</v>
      </c>
      <c r="G41" s="459" t="s">
        <v>590</v>
      </c>
      <c r="H41" s="459" t="s">
        <v>1509</v>
      </c>
      <c r="I41" s="286" t="s">
        <v>537</v>
      </c>
    </row>
    <row r="42" spans="3:9">
      <c r="C42" s="283">
        <v>36</v>
      </c>
      <c r="D42" s="282" t="s">
        <v>461</v>
      </c>
      <c r="E42" s="283">
        <f t="shared" si="0"/>
        <v>40</v>
      </c>
      <c r="F42" s="285" t="s">
        <v>949</v>
      </c>
      <c r="G42" s="459" t="s">
        <v>573</v>
      </c>
      <c r="H42" s="459" t="s">
        <v>1510</v>
      </c>
      <c r="I42" s="286" t="s">
        <v>537</v>
      </c>
    </row>
    <row r="43" spans="3:9">
      <c r="C43" s="283">
        <v>37</v>
      </c>
      <c r="D43" s="282" t="s">
        <v>462</v>
      </c>
      <c r="E43" s="283">
        <f t="shared" si="0"/>
        <v>40</v>
      </c>
      <c r="F43" s="285" t="s">
        <v>950</v>
      </c>
      <c r="G43" s="459" t="s">
        <v>548</v>
      </c>
      <c r="H43" s="459" t="s">
        <v>1511</v>
      </c>
      <c r="I43" s="286" t="s">
        <v>537</v>
      </c>
    </row>
    <row r="44" spans="3:9" ht="45">
      <c r="C44" s="283">
        <v>38</v>
      </c>
      <c r="D44" s="282" t="s">
        <v>463</v>
      </c>
      <c r="E44" s="283">
        <f t="shared" si="0"/>
        <v>40</v>
      </c>
      <c r="F44" s="285" t="s">
        <v>951</v>
      </c>
      <c r="G44" s="459" t="s">
        <v>574</v>
      </c>
      <c r="H44" s="459" t="s">
        <v>1512</v>
      </c>
      <c r="I44" s="286" t="s">
        <v>537</v>
      </c>
    </row>
    <row r="45" spans="3:9" ht="30">
      <c r="C45" s="283">
        <v>39</v>
      </c>
      <c r="D45" s="282" t="s">
        <v>464</v>
      </c>
      <c r="E45" s="283">
        <f t="shared" si="0"/>
        <v>40</v>
      </c>
      <c r="F45" s="285" t="s">
        <v>952</v>
      </c>
      <c r="G45" s="459" t="s">
        <v>575</v>
      </c>
      <c r="H45" s="459" t="s">
        <v>1513</v>
      </c>
      <c r="I45" s="286" t="s">
        <v>537</v>
      </c>
    </row>
    <row r="46" spans="3:9">
      <c r="C46" s="283">
        <v>40</v>
      </c>
      <c r="D46" s="282" t="s">
        <v>465</v>
      </c>
      <c r="E46" s="283">
        <f t="shared" si="0"/>
        <v>40</v>
      </c>
      <c r="F46" s="285" t="s">
        <v>953</v>
      </c>
      <c r="G46" s="459" t="s">
        <v>589</v>
      </c>
      <c r="H46" s="459" t="s">
        <v>1514</v>
      </c>
      <c r="I46" s="286" t="s">
        <v>537</v>
      </c>
    </row>
    <row r="47" spans="3:9">
      <c r="C47" s="283">
        <v>41</v>
      </c>
      <c r="D47" s="282" t="s">
        <v>466</v>
      </c>
      <c r="E47" s="283">
        <f t="shared" si="0"/>
        <v>40</v>
      </c>
      <c r="F47" s="285" t="s">
        <v>954</v>
      </c>
      <c r="G47" s="459" t="s">
        <v>578</v>
      </c>
      <c r="H47" s="459" t="s">
        <v>1515</v>
      </c>
      <c r="I47" s="286" t="s">
        <v>537</v>
      </c>
    </row>
    <row r="48" spans="3:9">
      <c r="C48" s="283">
        <v>42</v>
      </c>
      <c r="D48" s="282" t="s">
        <v>467</v>
      </c>
      <c r="E48" s="283">
        <f t="shared" si="0"/>
        <v>40</v>
      </c>
      <c r="F48" s="285" t="s">
        <v>955</v>
      </c>
      <c r="G48" s="459" t="s">
        <v>579</v>
      </c>
      <c r="H48" s="459" t="s">
        <v>1516</v>
      </c>
      <c r="I48" s="286" t="s">
        <v>537</v>
      </c>
    </row>
    <row r="49" spans="3:9" ht="30">
      <c r="C49" s="283">
        <v>43</v>
      </c>
      <c r="D49" s="282" t="s">
        <v>468</v>
      </c>
      <c r="E49" s="283">
        <f t="shared" si="0"/>
        <v>40</v>
      </c>
      <c r="F49" s="285" t="s">
        <v>956</v>
      </c>
      <c r="G49" s="459" t="s">
        <v>587</v>
      </c>
      <c r="H49" s="459" t="s">
        <v>1517</v>
      </c>
      <c r="I49" s="286" t="s">
        <v>537</v>
      </c>
    </row>
    <row r="50" spans="3:9" ht="30">
      <c r="C50" s="283">
        <v>44</v>
      </c>
      <c r="D50" s="282" t="s">
        <v>469</v>
      </c>
      <c r="E50" s="283">
        <f t="shared" si="0"/>
        <v>40</v>
      </c>
      <c r="F50" s="285" t="s">
        <v>957</v>
      </c>
      <c r="G50" s="459" t="s">
        <v>580</v>
      </c>
      <c r="H50" s="459" t="s">
        <v>1518</v>
      </c>
      <c r="I50" s="286" t="s">
        <v>537</v>
      </c>
    </row>
    <row r="51" spans="3:9">
      <c r="C51" s="283">
        <v>45</v>
      </c>
      <c r="D51" s="282" t="s">
        <v>470</v>
      </c>
      <c r="E51" s="283">
        <f t="shared" si="0"/>
        <v>40</v>
      </c>
      <c r="F51" s="285" t="s">
        <v>958</v>
      </c>
      <c r="G51" s="459" t="s">
        <v>581</v>
      </c>
      <c r="H51" s="459" t="s">
        <v>1519</v>
      </c>
      <c r="I51" s="286" t="s">
        <v>537</v>
      </c>
    </row>
    <row r="52" spans="3:9">
      <c r="C52" s="283">
        <v>46</v>
      </c>
      <c r="D52" s="282" t="s">
        <v>471</v>
      </c>
      <c r="E52" s="283">
        <f t="shared" si="0"/>
        <v>40</v>
      </c>
      <c r="F52" s="285" t="s">
        <v>959</v>
      </c>
      <c r="G52" s="459" t="s">
        <v>588</v>
      </c>
      <c r="H52" s="459" t="s">
        <v>1520</v>
      </c>
      <c r="I52" s="286" t="s">
        <v>537</v>
      </c>
    </row>
    <row r="53" spans="3:9" ht="30">
      <c r="C53" s="283">
        <v>47</v>
      </c>
      <c r="D53" s="282" t="s">
        <v>472</v>
      </c>
      <c r="E53" s="283">
        <f t="shared" si="0"/>
        <v>40</v>
      </c>
      <c r="F53" s="285" t="s">
        <v>960</v>
      </c>
      <c r="G53" s="459" t="s">
        <v>582</v>
      </c>
      <c r="H53" s="459" t="s">
        <v>1521</v>
      </c>
      <c r="I53" s="286" t="s">
        <v>537</v>
      </c>
    </row>
    <row r="54" spans="3:9">
      <c r="C54" s="283">
        <v>48</v>
      </c>
      <c r="D54" s="282" t="s">
        <v>473</v>
      </c>
      <c r="E54" s="283">
        <f t="shared" si="0"/>
        <v>40</v>
      </c>
      <c r="F54" s="285" t="s">
        <v>961</v>
      </c>
      <c r="G54" s="459" t="s">
        <v>549</v>
      </c>
      <c r="H54" s="459" t="s">
        <v>583</v>
      </c>
      <c r="I54" s="286" t="s">
        <v>537</v>
      </c>
    </row>
    <row r="55" spans="3:9">
      <c r="C55" s="283">
        <v>49</v>
      </c>
      <c r="D55" s="282" t="s">
        <v>474</v>
      </c>
      <c r="E55" s="283">
        <f t="shared" si="0"/>
        <v>40</v>
      </c>
      <c r="F55" s="285" t="s">
        <v>583</v>
      </c>
      <c r="G55" s="459" t="s">
        <v>583</v>
      </c>
      <c r="H55" s="459" t="s">
        <v>1522</v>
      </c>
      <c r="I55" s="286" t="s">
        <v>537</v>
      </c>
    </row>
    <row r="56" spans="3:9" ht="30">
      <c r="C56" s="283">
        <v>50</v>
      </c>
      <c r="D56" s="282" t="s">
        <v>475</v>
      </c>
      <c r="E56" s="283">
        <f t="shared" si="0"/>
        <v>40</v>
      </c>
      <c r="F56" s="285" t="s">
        <v>962</v>
      </c>
      <c r="G56" s="459" t="s">
        <v>584</v>
      </c>
      <c r="H56" s="459" t="s">
        <v>1523</v>
      </c>
      <c r="I56" s="286" t="s">
        <v>537</v>
      </c>
    </row>
    <row r="57" spans="3:9" ht="30">
      <c r="C57" s="283">
        <v>51</v>
      </c>
      <c r="D57" s="282" t="s">
        <v>476</v>
      </c>
      <c r="E57" s="283">
        <f t="shared" si="0"/>
        <v>40</v>
      </c>
      <c r="F57" s="285" t="s">
        <v>963</v>
      </c>
      <c r="G57" s="459" t="s">
        <v>593</v>
      </c>
      <c r="H57" s="459" t="s">
        <v>1524</v>
      </c>
      <c r="I57" s="286" t="s">
        <v>537</v>
      </c>
    </row>
    <row r="58" spans="3:9" ht="30">
      <c r="C58" s="283">
        <v>52</v>
      </c>
      <c r="D58" s="282" t="s">
        <v>477</v>
      </c>
      <c r="E58" s="283">
        <f t="shared" si="0"/>
        <v>40</v>
      </c>
      <c r="F58" s="285" t="s">
        <v>964</v>
      </c>
      <c r="G58" s="459" t="s">
        <v>594</v>
      </c>
      <c r="H58" s="459" t="s">
        <v>1525</v>
      </c>
      <c r="I58" s="286" t="s">
        <v>537</v>
      </c>
    </row>
    <row r="59" spans="3:9" ht="30">
      <c r="C59" s="283">
        <v>53</v>
      </c>
      <c r="D59" s="282" t="s">
        <v>478</v>
      </c>
      <c r="E59" s="283">
        <f t="shared" si="0"/>
        <v>40</v>
      </c>
      <c r="F59" s="285" t="s">
        <v>965</v>
      </c>
      <c r="G59" s="459" t="s">
        <v>595</v>
      </c>
      <c r="H59" s="459" t="s">
        <v>1526</v>
      </c>
      <c r="I59" s="286" t="s">
        <v>537</v>
      </c>
    </row>
    <row r="60" spans="3:9" ht="30">
      <c r="C60" s="283">
        <v>54</v>
      </c>
      <c r="D60" s="282" t="s">
        <v>479</v>
      </c>
      <c r="E60" s="283">
        <f t="shared" si="0"/>
        <v>40</v>
      </c>
      <c r="F60" s="285" t="s">
        <v>966</v>
      </c>
      <c r="G60" s="459" t="s">
        <v>596</v>
      </c>
      <c r="H60" s="459" t="s">
        <v>1527</v>
      </c>
      <c r="I60" s="286" t="s">
        <v>537</v>
      </c>
    </row>
    <row r="61" spans="3:9">
      <c r="C61" s="283">
        <v>55</v>
      </c>
      <c r="D61" s="282" t="s">
        <v>480</v>
      </c>
      <c r="E61" s="283">
        <f t="shared" si="0"/>
        <v>40</v>
      </c>
      <c r="F61" s="285" t="s">
        <v>967</v>
      </c>
      <c r="G61" s="459" t="s">
        <v>597</v>
      </c>
      <c r="H61" s="459" t="s">
        <v>1528</v>
      </c>
      <c r="I61" s="286" t="s">
        <v>537</v>
      </c>
    </row>
    <row r="62" spans="3:9">
      <c r="C62" s="283">
        <v>56</v>
      </c>
      <c r="D62" s="282" t="s">
        <v>481</v>
      </c>
      <c r="E62" s="283">
        <f t="shared" si="0"/>
        <v>40</v>
      </c>
      <c r="F62" s="285" t="s">
        <v>968</v>
      </c>
      <c r="G62" s="459" t="s">
        <v>598</v>
      </c>
      <c r="H62" s="459" t="s">
        <v>1529</v>
      </c>
      <c r="I62" s="286" t="s">
        <v>537</v>
      </c>
    </row>
    <row r="63" spans="3:9" ht="30">
      <c r="C63" s="283">
        <v>57</v>
      </c>
      <c r="D63" s="282" t="s">
        <v>482</v>
      </c>
      <c r="E63" s="283">
        <f t="shared" si="0"/>
        <v>40</v>
      </c>
      <c r="F63" s="285" t="s">
        <v>969</v>
      </c>
      <c r="G63" s="459" t="s">
        <v>599</v>
      </c>
      <c r="H63" s="459" t="s">
        <v>1530</v>
      </c>
      <c r="I63" s="286" t="s">
        <v>537</v>
      </c>
    </row>
    <row r="64" spans="3:9">
      <c r="C64" s="283">
        <v>58</v>
      </c>
      <c r="D64" s="282" t="s">
        <v>483</v>
      </c>
      <c r="E64" s="283">
        <f t="shared" si="0"/>
        <v>40</v>
      </c>
      <c r="F64" s="285" t="s">
        <v>970</v>
      </c>
      <c r="G64" s="459" t="s">
        <v>600</v>
      </c>
      <c r="H64" s="459" t="s">
        <v>1531</v>
      </c>
      <c r="I64" s="286" t="s">
        <v>537</v>
      </c>
    </row>
    <row r="65" spans="3:9">
      <c r="C65" s="283">
        <v>59</v>
      </c>
      <c r="D65" s="282" t="s">
        <v>484</v>
      </c>
      <c r="E65" s="283">
        <f t="shared" si="0"/>
        <v>40</v>
      </c>
      <c r="F65" s="285" t="s">
        <v>971</v>
      </c>
      <c r="G65" s="459" t="s">
        <v>601</v>
      </c>
      <c r="H65" s="459" t="s">
        <v>1532</v>
      </c>
      <c r="I65" s="286" t="s">
        <v>537</v>
      </c>
    </row>
    <row r="66" spans="3:9">
      <c r="C66" s="283">
        <v>60</v>
      </c>
      <c r="D66" s="282" t="s">
        <v>485</v>
      </c>
      <c r="E66" s="283">
        <f t="shared" si="0"/>
        <v>40</v>
      </c>
      <c r="F66" s="285" t="s">
        <v>972</v>
      </c>
      <c r="G66" s="459" t="s">
        <v>602</v>
      </c>
      <c r="H66" s="459" t="s">
        <v>1533</v>
      </c>
      <c r="I66" s="286" t="s">
        <v>537</v>
      </c>
    </row>
    <row r="67" spans="3:9">
      <c r="C67" s="283">
        <v>61</v>
      </c>
      <c r="D67" s="282" t="s">
        <v>486</v>
      </c>
      <c r="E67" s="283">
        <f t="shared" si="0"/>
        <v>40</v>
      </c>
      <c r="F67" s="285" t="s">
        <v>973</v>
      </c>
      <c r="G67" s="459" t="s">
        <v>603</v>
      </c>
      <c r="H67" s="459" t="s">
        <v>1534</v>
      </c>
      <c r="I67" s="286" t="s">
        <v>537</v>
      </c>
    </row>
    <row r="68" spans="3:9" ht="30">
      <c r="C68" s="283">
        <v>62</v>
      </c>
      <c r="D68" s="282" t="s">
        <v>487</v>
      </c>
      <c r="E68" s="283">
        <f t="shared" si="0"/>
        <v>40</v>
      </c>
      <c r="F68" s="285" t="s">
        <v>974</v>
      </c>
      <c r="G68" s="459" t="s">
        <v>604</v>
      </c>
      <c r="H68" s="459" t="s">
        <v>1535</v>
      </c>
      <c r="I68" s="286" t="s">
        <v>537</v>
      </c>
    </row>
    <row r="69" spans="3:9" ht="30">
      <c r="C69" s="283">
        <v>63</v>
      </c>
      <c r="D69" s="282" t="s">
        <v>488</v>
      </c>
      <c r="E69" s="283">
        <f t="shared" si="0"/>
        <v>40</v>
      </c>
      <c r="F69" s="285" t="s">
        <v>975</v>
      </c>
      <c r="G69" s="459" t="s">
        <v>605</v>
      </c>
      <c r="H69" s="459" t="s">
        <v>1536</v>
      </c>
      <c r="I69" s="286" t="s">
        <v>537</v>
      </c>
    </row>
    <row r="70" spans="3:9" ht="45">
      <c r="C70" s="283">
        <v>64</v>
      </c>
      <c r="D70" s="282" t="s">
        <v>489</v>
      </c>
      <c r="E70" s="283">
        <f t="shared" si="0"/>
        <v>40</v>
      </c>
      <c r="F70" s="285" t="s">
        <v>976</v>
      </c>
      <c r="G70" s="459" t="s">
        <v>606</v>
      </c>
      <c r="H70" s="459" t="s">
        <v>1537</v>
      </c>
      <c r="I70" s="286" t="s">
        <v>537</v>
      </c>
    </row>
    <row r="71" spans="3:9" ht="30">
      <c r="C71" s="283">
        <v>65</v>
      </c>
      <c r="D71" s="282" t="s">
        <v>490</v>
      </c>
      <c r="E71" s="283">
        <f t="shared" si="0"/>
        <v>40</v>
      </c>
      <c r="F71" s="285" t="s">
        <v>977</v>
      </c>
      <c r="G71" s="459" t="s">
        <v>607</v>
      </c>
      <c r="H71" s="459" t="s">
        <v>1538</v>
      </c>
      <c r="I71" s="286" t="s">
        <v>537</v>
      </c>
    </row>
    <row r="72" spans="3:9">
      <c r="C72" s="283">
        <v>66</v>
      </c>
      <c r="D72" s="282" t="s">
        <v>491</v>
      </c>
      <c r="E72" s="283">
        <f t="shared" ref="E72:E135" si="1">MID(I72,1,3)*1</f>
        <v>40</v>
      </c>
      <c r="F72" s="285" t="s">
        <v>978</v>
      </c>
      <c r="G72" s="459" t="s">
        <v>608</v>
      </c>
      <c r="H72" s="459" t="s">
        <v>1539</v>
      </c>
      <c r="I72" s="286" t="s">
        <v>537</v>
      </c>
    </row>
    <row r="73" spans="3:9">
      <c r="C73" s="283">
        <v>67</v>
      </c>
      <c r="D73" s="282" t="s">
        <v>492</v>
      </c>
      <c r="E73" s="283">
        <f t="shared" si="1"/>
        <v>40</v>
      </c>
      <c r="F73" s="285" t="s">
        <v>979</v>
      </c>
      <c r="G73" s="459" t="s">
        <v>609</v>
      </c>
      <c r="H73" s="459" t="s">
        <v>1540</v>
      </c>
      <c r="I73" s="286" t="s">
        <v>537</v>
      </c>
    </row>
    <row r="74" spans="3:9">
      <c r="C74" s="283">
        <v>68</v>
      </c>
      <c r="D74" s="282" t="s">
        <v>493</v>
      </c>
      <c r="E74" s="283">
        <f t="shared" si="1"/>
        <v>40</v>
      </c>
      <c r="F74" s="285" t="s">
        <v>980</v>
      </c>
      <c r="G74" s="459" t="s">
        <v>610</v>
      </c>
      <c r="H74" s="459" t="s">
        <v>1541</v>
      </c>
      <c r="I74" s="286" t="s">
        <v>537</v>
      </c>
    </row>
    <row r="75" spans="3:9">
      <c r="C75" s="283">
        <v>69</v>
      </c>
      <c r="D75" s="282" t="s">
        <v>494</v>
      </c>
      <c r="E75" s="283">
        <f t="shared" si="1"/>
        <v>40</v>
      </c>
      <c r="F75" s="285" t="s">
        <v>981</v>
      </c>
      <c r="G75" s="459" t="s">
        <v>611</v>
      </c>
      <c r="H75" s="459" t="s">
        <v>1542</v>
      </c>
      <c r="I75" s="286" t="s">
        <v>537</v>
      </c>
    </row>
    <row r="76" spans="3:9">
      <c r="C76" s="283">
        <v>70</v>
      </c>
      <c r="D76" s="282" t="s">
        <v>495</v>
      </c>
      <c r="E76" s="283">
        <f t="shared" si="1"/>
        <v>40</v>
      </c>
      <c r="F76" s="285" t="s">
        <v>982</v>
      </c>
      <c r="G76" s="459" t="s">
        <v>612</v>
      </c>
      <c r="H76" s="459" t="s">
        <v>1543</v>
      </c>
      <c r="I76" s="286" t="s">
        <v>537</v>
      </c>
    </row>
    <row r="77" spans="3:9">
      <c r="C77" s="283">
        <v>71</v>
      </c>
      <c r="D77" s="282" t="s">
        <v>496</v>
      </c>
      <c r="E77" s="283">
        <f t="shared" si="1"/>
        <v>40</v>
      </c>
      <c r="F77" s="285" t="s">
        <v>920</v>
      </c>
      <c r="G77" s="459" t="s">
        <v>613</v>
      </c>
      <c r="H77" s="459" t="s">
        <v>1544</v>
      </c>
      <c r="I77" s="286" t="s">
        <v>537</v>
      </c>
    </row>
    <row r="78" spans="3:9">
      <c r="C78" s="283">
        <v>72</v>
      </c>
      <c r="D78" s="282" t="s">
        <v>497</v>
      </c>
      <c r="E78" s="283">
        <f t="shared" si="1"/>
        <v>40</v>
      </c>
      <c r="F78" s="285" t="s">
        <v>983</v>
      </c>
      <c r="G78" s="459" t="s">
        <v>614</v>
      </c>
      <c r="H78" s="459" t="s">
        <v>1545</v>
      </c>
      <c r="I78" s="286" t="s">
        <v>537</v>
      </c>
    </row>
    <row r="79" spans="3:9">
      <c r="C79" s="283">
        <v>73</v>
      </c>
      <c r="D79" s="282" t="s">
        <v>498</v>
      </c>
      <c r="E79" s="283">
        <f t="shared" si="1"/>
        <v>40</v>
      </c>
      <c r="F79" s="285" t="s">
        <v>984</v>
      </c>
      <c r="G79" s="459" t="s">
        <v>615</v>
      </c>
      <c r="H79" s="459" t="s">
        <v>1546</v>
      </c>
      <c r="I79" s="286" t="s">
        <v>537</v>
      </c>
    </row>
    <row r="80" spans="3:9" ht="30">
      <c r="C80" s="283">
        <v>74</v>
      </c>
      <c r="D80" s="282" t="s">
        <v>499</v>
      </c>
      <c r="E80" s="283">
        <f t="shared" si="1"/>
        <v>40</v>
      </c>
      <c r="F80" s="285" t="s">
        <v>985</v>
      </c>
      <c r="G80" s="459" t="s">
        <v>616</v>
      </c>
      <c r="H80" s="459" t="s">
        <v>1547</v>
      </c>
      <c r="I80" s="286" t="s">
        <v>537</v>
      </c>
    </row>
    <row r="81" spans="3:9" ht="30">
      <c r="C81" s="283">
        <v>75</v>
      </c>
      <c r="D81" s="282" t="s">
        <v>500</v>
      </c>
      <c r="E81" s="283">
        <f t="shared" si="1"/>
        <v>40</v>
      </c>
      <c r="F81" s="285" t="s">
        <v>986</v>
      </c>
      <c r="G81" s="459" t="s">
        <v>617</v>
      </c>
      <c r="H81" s="459" t="s">
        <v>1548</v>
      </c>
      <c r="I81" s="286" t="s">
        <v>537</v>
      </c>
    </row>
    <row r="82" spans="3:9" ht="30">
      <c r="C82" s="283">
        <v>76</v>
      </c>
      <c r="D82" s="282" t="s">
        <v>501</v>
      </c>
      <c r="E82" s="283">
        <f t="shared" si="1"/>
        <v>40</v>
      </c>
      <c r="F82" s="285" t="s">
        <v>987</v>
      </c>
      <c r="G82" s="459" t="s">
        <v>618</v>
      </c>
      <c r="H82" s="459" t="s">
        <v>1549</v>
      </c>
      <c r="I82" s="286" t="s">
        <v>537</v>
      </c>
    </row>
    <row r="83" spans="3:9" ht="30">
      <c r="C83" s="283">
        <v>77</v>
      </c>
      <c r="D83" s="282" t="s">
        <v>502</v>
      </c>
      <c r="E83" s="283">
        <f t="shared" si="1"/>
        <v>40</v>
      </c>
      <c r="F83" s="285" t="s">
        <v>988</v>
      </c>
      <c r="G83" s="459" t="s">
        <v>619</v>
      </c>
      <c r="H83" s="459" t="s">
        <v>1550</v>
      </c>
      <c r="I83" s="286" t="s">
        <v>537</v>
      </c>
    </row>
    <row r="84" spans="3:9" ht="30">
      <c r="C84" s="283">
        <v>78</v>
      </c>
      <c r="D84" s="282" t="s">
        <v>503</v>
      </c>
      <c r="E84" s="283">
        <f t="shared" si="1"/>
        <v>40</v>
      </c>
      <c r="F84" s="285" t="s">
        <v>989</v>
      </c>
      <c r="G84" s="459" t="s">
        <v>620</v>
      </c>
      <c r="H84" s="459" t="s">
        <v>1551</v>
      </c>
      <c r="I84" s="286" t="s">
        <v>537</v>
      </c>
    </row>
    <row r="85" spans="3:9" ht="30">
      <c r="C85" s="283">
        <v>79</v>
      </c>
      <c r="D85" s="282" t="s">
        <v>504</v>
      </c>
      <c r="E85" s="283">
        <f t="shared" si="1"/>
        <v>40</v>
      </c>
      <c r="F85" s="285" t="s">
        <v>990</v>
      </c>
      <c r="G85" s="459" t="s">
        <v>621</v>
      </c>
      <c r="H85" s="459" t="s">
        <v>1552</v>
      </c>
      <c r="I85" s="286" t="s">
        <v>537</v>
      </c>
    </row>
    <row r="86" spans="3:9">
      <c r="C86" s="283">
        <v>80</v>
      </c>
      <c r="D86" s="282" t="s">
        <v>505</v>
      </c>
      <c r="E86" s="283">
        <f t="shared" si="1"/>
        <v>40</v>
      </c>
      <c r="F86" s="285" t="s">
        <v>991</v>
      </c>
      <c r="G86" s="459" t="s">
        <v>526</v>
      </c>
      <c r="H86" s="459" t="s">
        <v>1553</v>
      </c>
      <c r="I86" s="286" t="s">
        <v>537</v>
      </c>
    </row>
    <row r="87" spans="3:9">
      <c r="C87" s="283">
        <v>81</v>
      </c>
      <c r="D87" s="282" t="s">
        <v>506</v>
      </c>
      <c r="E87" s="283">
        <f t="shared" si="1"/>
        <v>40</v>
      </c>
      <c r="F87" s="285" t="s">
        <v>992</v>
      </c>
      <c r="G87" s="459" t="s">
        <v>622</v>
      </c>
      <c r="H87" s="459" t="s">
        <v>1554</v>
      </c>
      <c r="I87" s="286" t="s">
        <v>537</v>
      </c>
    </row>
    <row r="88" spans="3:9">
      <c r="C88" s="283">
        <v>82</v>
      </c>
      <c r="D88" s="282" t="s">
        <v>507</v>
      </c>
      <c r="E88" s="283">
        <f t="shared" si="1"/>
        <v>40</v>
      </c>
      <c r="F88" s="285" t="s">
        <v>993</v>
      </c>
      <c r="G88" s="459" t="s">
        <v>623</v>
      </c>
      <c r="H88" s="459" t="s">
        <v>1555</v>
      </c>
      <c r="I88" s="286" t="s">
        <v>537</v>
      </c>
    </row>
    <row r="89" spans="3:9">
      <c r="C89" s="283">
        <v>83</v>
      </c>
      <c r="D89" s="282" t="s">
        <v>508</v>
      </c>
      <c r="E89" s="283">
        <f t="shared" si="1"/>
        <v>40</v>
      </c>
      <c r="F89" s="285" t="s">
        <v>994</v>
      </c>
      <c r="G89" s="459" t="s">
        <v>624</v>
      </c>
      <c r="H89" s="459" t="s">
        <v>1556</v>
      </c>
      <c r="I89" s="286" t="s">
        <v>537</v>
      </c>
    </row>
    <row r="90" spans="3:9" ht="30">
      <c r="C90" s="283">
        <v>84</v>
      </c>
      <c r="D90" s="282" t="s">
        <v>509</v>
      </c>
      <c r="E90" s="283">
        <f t="shared" si="1"/>
        <v>40</v>
      </c>
      <c r="F90" s="285" t="s">
        <v>995</v>
      </c>
      <c r="G90" s="459" t="s">
        <v>625</v>
      </c>
      <c r="H90" s="459" t="s">
        <v>1557</v>
      </c>
      <c r="I90" s="286" t="s">
        <v>537</v>
      </c>
    </row>
    <row r="91" spans="3:9">
      <c r="C91" s="283">
        <v>85</v>
      </c>
      <c r="D91" s="282" t="s">
        <v>510</v>
      </c>
      <c r="E91" s="283">
        <f t="shared" si="1"/>
        <v>40</v>
      </c>
      <c r="F91" s="285" t="s">
        <v>996</v>
      </c>
      <c r="G91" s="459" t="s">
        <v>626</v>
      </c>
      <c r="H91" s="459" t="s">
        <v>1558</v>
      </c>
      <c r="I91" s="286" t="s">
        <v>537</v>
      </c>
    </row>
    <row r="92" spans="3:9">
      <c r="C92" s="283">
        <v>86</v>
      </c>
      <c r="D92" s="282" t="s">
        <v>511</v>
      </c>
      <c r="E92" s="283">
        <f t="shared" si="1"/>
        <v>40</v>
      </c>
      <c r="F92" s="285" t="s">
        <v>997</v>
      </c>
      <c r="G92" s="459" t="s">
        <v>627</v>
      </c>
      <c r="H92" s="459" t="s">
        <v>1559</v>
      </c>
      <c r="I92" s="286" t="s">
        <v>537</v>
      </c>
    </row>
    <row r="93" spans="3:9" ht="30">
      <c r="C93" s="283">
        <v>87</v>
      </c>
      <c r="D93" s="282" t="s">
        <v>512</v>
      </c>
      <c r="E93" s="283">
        <f t="shared" si="1"/>
        <v>40</v>
      </c>
      <c r="F93" s="285" t="s">
        <v>998</v>
      </c>
      <c r="G93" s="459" t="s">
        <v>628</v>
      </c>
      <c r="H93" s="459" t="s">
        <v>1560</v>
      </c>
      <c r="I93" s="286" t="s">
        <v>537</v>
      </c>
    </row>
    <row r="94" spans="3:9">
      <c r="C94" s="283">
        <v>88</v>
      </c>
      <c r="D94" s="282" t="s">
        <v>513</v>
      </c>
      <c r="E94" s="283">
        <f t="shared" si="1"/>
        <v>40</v>
      </c>
      <c r="F94" s="285" t="s">
        <v>999</v>
      </c>
      <c r="G94" s="459" t="s">
        <v>629</v>
      </c>
      <c r="H94" s="459" t="s">
        <v>1561</v>
      </c>
      <c r="I94" s="286" t="s">
        <v>537</v>
      </c>
    </row>
    <row r="95" spans="3:9">
      <c r="C95" s="283">
        <v>89</v>
      </c>
      <c r="D95" s="282" t="s">
        <v>514</v>
      </c>
      <c r="E95" s="283">
        <f t="shared" si="1"/>
        <v>40</v>
      </c>
      <c r="F95" s="285" t="s">
        <v>1000</v>
      </c>
      <c r="G95" s="459" t="s">
        <v>630</v>
      </c>
      <c r="H95" s="459" t="s">
        <v>1562</v>
      </c>
      <c r="I95" s="286" t="s">
        <v>537</v>
      </c>
    </row>
    <row r="96" spans="3:9">
      <c r="C96" s="283">
        <v>90</v>
      </c>
      <c r="D96" s="282" t="s">
        <v>515</v>
      </c>
      <c r="E96" s="283">
        <f t="shared" si="1"/>
        <v>40</v>
      </c>
      <c r="F96" s="285" t="s">
        <v>1001</v>
      </c>
      <c r="G96" s="459" t="s">
        <v>631</v>
      </c>
      <c r="H96" s="459" t="s">
        <v>1563</v>
      </c>
      <c r="I96" s="286" t="s">
        <v>537</v>
      </c>
    </row>
    <row r="97" spans="3:9">
      <c r="C97" s="283">
        <v>91</v>
      </c>
      <c r="D97" s="282" t="s">
        <v>516</v>
      </c>
      <c r="E97" s="283">
        <f t="shared" si="1"/>
        <v>40</v>
      </c>
      <c r="F97" s="285" t="s">
        <v>1002</v>
      </c>
      <c r="G97" s="459" t="s">
        <v>522</v>
      </c>
      <c r="H97" s="459" t="s">
        <v>1564</v>
      </c>
      <c r="I97" s="286" t="s">
        <v>537</v>
      </c>
    </row>
    <row r="98" spans="3:9">
      <c r="C98" s="283">
        <v>92</v>
      </c>
      <c r="D98" s="282" t="s">
        <v>1215</v>
      </c>
      <c r="E98" s="283">
        <f t="shared" si="1"/>
        <v>40</v>
      </c>
      <c r="F98" s="285" t="s">
        <v>1003</v>
      </c>
      <c r="G98" s="459" t="s">
        <v>632</v>
      </c>
      <c r="H98" s="459" t="s">
        <v>1565</v>
      </c>
      <c r="I98" s="286" t="s">
        <v>537</v>
      </c>
    </row>
    <row r="99" spans="3:9">
      <c r="C99" s="283">
        <v>93</v>
      </c>
      <c r="D99" s="282" t="s">
        <v>1216</v>
      </c>
      <c r="E99" s="283">
        <f t="shared" si="1"/>
        <v>40</v>
      </c>
      <c r="F99" s="285" t="s">
        <v>1004</v>
      </c>
      <c r="G99" s="459" t="s">
        <v>633</v>
      </c>
      <c r="H99" s="459" t="s">
        <v>1566</v>
      </c>
      <c r="I99" s="286" t="s">
        <v>537</v>
      </c>
    </row>
    <row r="100" spans="3:9">
      <c r="C100" s="283">
        <v>94</v>
      </c>
      <c r="D100" s="282" t="s">
        <v>1217</v>
      </c>
      <c r="E100" s="283">
        <f t="shared" si="1"/>
        <v>40</v>
      </c>
      <c r="F100" s="285" t="s">
        <v>1005</v>
      </c>
      <c r="G100" s="459" t="s">
        <v>634</v>
      </c>
      <c r="H100" s="459" t="s">
        <v>1567</v>
      </c>
      <c r="I100" s="286" t="s">
        <v>537</v>
      </c>
    </row>
    <row r="101" spans="3:9" ht="30">
      <c r="C101" s="283">
        <v>95</v>
      </c>
      <c r="D101" s="282" t="s">
        <v>1218</v>
      </c>
      <c r="E101" s="283">
        <f t="shared" si="1"/>
        <v>40</v>
      </c>
      <c r="F101" s="285" t="s">
        <v>1007</v>
      </c>
      <c r="G101" s="459" t="s">
        <v>635</v>
      </c>
      <c r="H101" s="459" t="s">
        <v>1568</v>
      </c>
      <c r="I101" s="286" t="s">
        <v>537</v>
      </c>
    </row>
    <row r="102" spans="3:9" ht="30">
      <c r="C102" s="283">
        <v>96</v>
      </c>
      <c r="D102" s="282" t="s">
        <v>1219</v>
      </c>
      <c r="E102" s="283">
        <f t="shared" si="1"/>
        <v>40</v>
      </c>
      <c r="F102" s="285" t="s">
        <v>1008</v>
      </c>
      <c r="G102" s="459" t="s">
        <v>636</v>
      </c>
      <c r="H102" s="459" t="s">
        <v>1569</v>
      </c>
      <c r="I102" s="286" t="s">
        <v>537</v>
      </c>
    </row>
    <row r="103" spans="3:9" ht="30">
      <c r="C103" s="283">
        <v>97</v>
      </c>
      <c r="D103" s="282" t="s">
        <v>1220</v>
      </c>
      <c r="E103" s="283">
        <f t="shared" si="1"/>
        <v>40</v>
      </c>
      <c r="F103" s="285" t="s">
        <v>1009</v>
      </c>
      <c r="G103" s="459" t="s">
        <v>637</v>
      </c>
      <c r="H103" s="459" t="s">
        <v>1570</v>
      </c>
      <c r="I103" s="286" t="s">
        <v>537</v>
      </c>
    </row>
    <row r="104" spans="3:9">
      <c r="C104" s="283">
        <v>98</v>
      </c>
      <c r="D104" s="282" t="s">
        <v>1221</v>
      </c>
      <c r="E104" s="283">
        <f t="shared" si="1"/>
        <v>40</v>
      </c>
      <c r="F104" s="285" t="s">
        <v>1010</v>
      </c>
      <c r="G104" s="459" t="s">
        <v>638</v>
      </c>
      <c r="H104" s="459" t="s">
        <v>1571</v>
      </c>
      <c r="I104" s="286" t="s">
        <v>537</v>
      </c>
    </row>
    <row r="105" spans="3:9">
      <c r="C105" s="283">
        <v>99</v>
      </c>
      <c r="D105" s="282" t="s">
        <v>1222</v>
      </c>
      <c r="E105" s="283">
        <f t="shared" si="1"/>
        <v>41</v>
      </c>
      <c r="F105" s="285" t="s">
        <v>5</v>
      </c>
      <c r="G105" s="459" t="s">
        <v>527</v>
      </c>
      <c r="H105" s="459" t="s">
        <v>1572</v>
      </c>
      <c r="I105" s="286" t="s">
        <v>538</v>
      </c>
    </row>
    <row r="106" spans="3:9">
      <c r="C106" s="283">
        <v>100</v>
      </c>
      <c r="D106" s="282" t="s">
        <v>1223</v>
      </c>
      <c r="E106" s="283">
        <f t="shared" si="1"/>
        <v>41</v>
      </c>
      <c r="F106" s="285" t="s">
        <v>1011</v>
      </c>
      <c r="G106" s="459" t="s">
        <v>530</v>
      </c>
      <c r="H106" s="459" t="s">
        <v>1573</v>
      </c>
      <c r="I106" s="286" t="s">
        <v>538</v>
      </c>
    </row>
    <row r="107" spans="3:9" ht="45">
      <c r="C107" s="283">
        <v>101</v>
      </c>
      <c r="D107" s="282" t="s">
        <v>1224</v>
      </c>
      <c r="E107" s="283">
        <f t="shared" si="1"/>
        <v>41</v>
      </c>
      <c r="F107" s="285" t="s">
        <v>1012</v>
      </c>
      <c r="G107" s="459" t="s">
        <v>639</v>
      </c>
      <c r="H107" s="459" t="s">
        <v>1574</v>
      </c>
      <c r="I107" s="286" t="s">
        <v>538</v>
      </c>
    </row>
    <row r="108" spans="3:9" ht="30">
      <c r="C108" s="283">
        <v>102</v>
      </c>
      <c r="D108" s="282" t="s">
        <v>1225</v>
      </c>
      <c r="E108" s="283">
        <f t="shared" si="1"/>
        <v>41</v>
      </c>
      <c r="F108" s="285" t="s">
        <v>1013</v>
      </c>
      <c r="G108" s="459" t="s">
        <v>640</v>
      </c>
      <c r="H108" s="459" t="s">
        <v>1575</v>
      </c>
      <c r="I108" s="286" t="s">
        <v>538</v>
      </c>
    </row>
    <row r="109" spans="3:9" ht="30">
      <c r="C109" s="283">
        <v>103</v>
      </c>
      <c r="D109" s="282" t="s">
        <v>1226</v>
      </c>
      <c r="E109" s="283">
        <f t="shared" si="1"/>
        <v>41</v>
      </c>
      <c r="F109" s="285" t="s">
        <v>1014</v>
      </c>
      <c r="G109" s="459" t="s">
        <v>641</v>
      </c>
      <c r="H109" s="459" t="s">
        <v>1576</v>
      </c>
      <c r="I109" s="286" t="s">
        <v>538</v>
      </c>
    </row>
    <row r="110" spans="3:9">
      <c r="C110" s="283">
        <v>104</v>
      </c>
      <c r="D110" s="282" t="s">
        <v>1227</v>
      </c>
      <c r="E110" s="283">
        <f t="shared" si="1"/>
        <v>41</v>
      </c>
      <c r="F110" s="285" t="s">
        <v>1015</v>
      </c>
      <c r="G110" s="459" t="s">
        <v>642</v>
      </c>
      <c r="H110" s="459" t="s">
        <v>1577</v>
      </c>
      <c r="I110" s="286" t="s">
        <v>538</v>
      </c>
    </row>
    <row r="111" spans="3:9">
      <c r="C111" s="283">
        <v>105</v>
      </c>
      <c r="D111" s="282" t="s">
        <v>1228</v>
      </c>
      <c r="E111" s="283">
        <f t="shared" si="1"/>
        <v>41</v>
      </c>
      <c r="F111" s="285" t="s">
        <v>1016</v>
      </c>
      <c r="G111" s="459" t="s">
        <v>643</v>
      </c>
      <c r="H111" s="459" t="s">
        <v>1578</v>
      </c>
      <c r="I111" s="286" t="s">
        <v>538</v>
      </c>
    </row>
    <row r="112" spans="3:9">
      <c r="C112" s="283">
        <v>106</v>
      </c>
      <c r="D112" s="282" t="s">
        <v>1229</v>
      </c>
      <c r="E112" s="283">
        <f t="shared" si="1"/>
        <v>41</v>
      </c>
      <c r="F112" s="285" t="s">
        <v>1017</v>
      </c>
      <c r="G112" s="459" t="s">
        <v>644</v>
      </c>
      <c r="H112" s="459" t="s">
        <v>1579</v>
      </c>
      <c r="I112" s="286" t="s">
        <v>538</v>
      </c>
    </row>
    <row r="113" spans="3:9">
      <c r="C113" s="283">
        <v>107</v>
      </c>
      <c r="D113" s="282" t="s">
        <v>1230</v>
      </c>
      <c r="E113" s="283">
        <f t="shared" si="1"/>
        <v>41</v>
      </c>
      <c r="F113" s="285" t="s">
        <v>1018</v>
      </c>
      <c r="G113" s="459" t="s">
        <v>645</v>
      </c>
      <c r="H113" s="459" t="s">
        <v>1580</v>
      </c>
      <c r="I113" s="286" t="s">
        <v>538</v>
      </c>
    </row>
    <row r="114" spans="3:9">
      <c r="C114" s="283">
        <v>108</v>
      </c>
      <c r="D114" s="282" t="s">
        <v>1231</v>
      </c>
      <c r="E114" s="283">
        <f t="shared" si="1"/>
        <v>41</v>
      </c>
      <c r="F114" s="285" t="s">
        <v>1019</v>
      </c>
      <c r="G114" s="459" t="s">
        <v>521</v>
      </c>
      <c r="H114" s="459" t="s">
        <v>1581</v>
      </c>
      <c r="I114" s="286" t="s">
        <v>538</v>
      </c>
    </row>
    <row r="115" spans="3:9" ht="30">
      <c r="C115" s="283">
        <v>109</v>
      </c>
      <c r="D115" s="282" t="s">
        <v>1232</v>
      </c>
      <c r="E115" s="283">
        <f t="shared" si="1"/>
        <v>41</v>
      </c>
      <c r="F115" s="285" t="s">
        <v>1020</v>
      </c>
      <c r="G115" s="459" t="s">
        <v>646</v>
      </c>
      <c r="H115" s="459" t="s">
        <v>1582</v>
      </c>
      <c r="I115" s="286" t="s">
        <v>538</v>
      </c>
    </row>
    <row r="116" spans="3:9">
      <c r="C116" s="283">
        <v>110</v>
      </c>
      <c r="D116" s="282" t="s">
        <v>1233</v>
      </c>
      <c r="E116" s="283">
        <f t="shared" si="1"/>
        <v>41</v>
      </c>
      <c r="F116" s="285" t="s">
        <v>1021</v>
      </c>
      <c r="G116" s="459" t="s">
        <v>556</v>
      </c>
      <c r="H116" s="459" t="s">
        <v>1583</v>
      </c>
      <c r="I116" s="286" t="s">
        <v>538</v>
      </c>
    </row>
    <row r="117" spans="3:9" ht="30">
      <c r="C117" s="283">
        <v>111</v>
      </c>
      <c r="D117" s="282" t="s">
        <v>1234</v>
      </c>
      <c r="E117" s="283">
        <f t="shared" si="1"/>
        <v>41</v>
      </c>
      <c r="F117" s="285" t="s">
        <v>1022</v>
      </c>
      <c r="G117" s="459" t="s">
        <v>524</v>
      </c>
      <c r="H117" s="459" t="s">
        <v>1584</v>
      </c>
      <c r="I117" s="286" t="s">
        <v>538</v>
      </c>
    </row>
    <row r="118" spans="3:9" ht="30">
      <c r="C118" s="283">
        <v>112</v>
      </c>
      <c r="D118" s="282" t="s">
        <v>1235</v>
      </c>
      <c r="E118" s="283">
        <f t="shared" si="1"/>
        <v>41</v>
      </c>
      <c r="F118" s="285" t="s">
        <v>1023</v>
      </c>
      <c r="G118" s="459" t="s">
        <v>647</v>
      </c>
      <c r="H118" s="459" t="s">
        <v>1585</v>
      </c>
      <c r="I118" s="286" t="s">
        <v>538</v>
      </c>
    </row>
    <row r="119" spans="3:9" ht="45">
      <c r="C119" s="283">
        <v>113</v>
      </c>
      <c r="D119" s="282" t="s">
        <v>1236</v>
      </c>
      <c r="E119" s="283">
        <f t="shared" si="1"/>
        <v>41</v>
      </c>
      <c r="F119" s="285" t="s">
        <v>1024</v>
      </c>
      <c r="G119" s="459" t="s">
        <v>648</v>
      </c>
      <c r="H119" s="459" t="s">
        <v>1586</v>
      </c>
      <c r="I119" s="286" t="s">
        <v>538</v>
      </c>
    </row>
    <row r="120" spans="3:9" ht="30">
      <c r="C120" s="283">
        <v>114</v>
      </c>
      <c r="D120" s="282" t="s">
        <v>1237</v>
      </c>
      <c r="E120" s="283">
        <f t="shared" si="1"/>
        <v>41</v>
      </c>
      <c r="F120" s="285" t="s">
        <v>1213</v>
      </c>
      <c r="G120" s="459" t="s">
        <v>1214</v>
      </c>
      <c r="H120" s="459" t="s">
        <v>1587</v>
      </c>
      <c r="I120" s="286" t="s">
        <v>538</v>
      </c>
    </row>
    <row r="121" spans="3:9" ht="30">
      <c r="C121" s="283">
        <v>115</v>
      </c>
      <c r="D121" s="282" t="s">
        <v>1238</v>
      </c>
      <c r="E121" s="283">
        <f t="shared" si="1"/>
        <v>41</v>
      </c>
      <c r="F121" s="285" t="s">
        <v>1025</v>
      </c>
      <c r="G121" s="459" t="s">
        <v>649</v>
      </c>
      <c r="H121" s="459" t="s">
        <v>1588</v>
      </c>
      <c r="I121" s="286" t="s">
        <v>538</v>
      </c>
    </row>
    <row r="122" spans="3:9">
      <c r="C122" s="283">
        <v>116</v>
      </c>
      <c r="D122" s="282" t="s">
        <v>1239</v>
      </c>
      <c r="E122" s="283">
        <f t="shared" si="1"/>
        <v>42</v>
      </c>
      <c r="F122" s="285" t="s">
        <v>1026</v>
      </c>
      <c r="G122" s="459" t="s">
        <v>651</v>
      </c>
      <c r="H122" s="459" t="s">
        <v>1589</v>
      </c>
      <c r="I122" s="286" t="s">
        <v>650</v>
      </c>
    </row>
    <row r="123" spans="3:9">
      <c r="C123" s="283">
        <v>117</v>
      </c>
      <c r="D123" s="282" t="s">
        <v>1240</v>
      </c>
      <c r="E123" s="283">
        <f t="shared" si="1"/>
        <v>42</v>
      </c>
      <c r="F123" s="285" t="s">
        <v>1027</v>
      </c>
      <c r="G123" s="459" t="s">
        <v>652</v>
      </c>
      <c r="H123" s="459" t="s">
        <v>1590</v>
      </c>
      <c r="I123" s="286" t="s">
        <v>650</v>
      </c>
    </row>
    <row r="124" spans="3:9" ht="30">
      <c r="C124" s="283">
        <v>118</v>
      </c>
      <c r="D124" s="282" t="s">
        <v>1241</v>
      </c>
      <c r="E124" s="283">
        <f t="shared" si="1"/>
        <v>42</v>
      </c>
      <c r="F124" s="285" t="s">
        <v>1028</v>
      </c>
      <c r="G124" s="459" t="s">
        <v>653</v>
      </c>
      <c r="H124" s="459" t="s">
        <v>1591</v>
      </c>
      <c r="I124" s="286" t="s">
        <v>650</v>
      </c>
    </row>
    <row r="125" spans="3:9" ht="30">
      <c r="C125" s="283">
        <v>119</v>
      </c>
      <c r="D125" s="282" t="s">
        <v>1242</v>
      </c>
      <c r="E125" s="283">
        <f t="shared" si="1"/>
        <v>42</v>
      </c>
      <c r="F125" s="285" t="s">
        <v>1029</v>
      </c>
      <c r="G125" s="459" t="s">
        <v>654</v>
      </c>
      <c r="H125" s="459" t="s">
        <v>1592</v>
      </c>
      <c r="I125" s="286" t="s">
        <v>650</v>
      </c>
    </row>
    <row r="126" spans="3:9" ht="30">
      <c r="C126" s="283">
        <v>120</v>
      </c>
      <c r="D126" s="282" t="s">
        <v>1243</v>
      </c>
      <c r="E126" s="283">
        <f t="shared" si="1"/>
        <v>42</v>
      </c>
      <c r="F126" s="285" t="s">
        <v>1030</v>
      </c>
      <c r="G126" s="459" t="s">
        <v>655</v>
      </c>
      <c r="H126" s="459" t="s">
        <v>1593</v>
      </c>
      <c r="I126" s="286" t="s">
        <v>650</v>
      </c>
    </row>
    <row r="127" spans="3:9">
      <c r="C127" s="283">
        <v>121</v>
      </c>
      <c r="D127" s="282" t="s">
        <v>1244</v>
      </c>
      <c r="E127" s="283">
        <f t="shared" si="1"/>
        <v>42</v>
      </c>
      <c r="F127" s="285" t="s">
        <v>1031</v>
      </c>
      <c r="G127" s="459" t="s">
        <v>656</v>
      </c>
      <c r="H127" s="459" t="s">
        <v>1594</v>
      </c>
      <c r="I127" s="286" t="s">
        <v>650</v>
      </c>
    </row>
    <row r="128" spans="3:9">
      <c r="C128" s="283">
        <v>122</v>
      </c>
      <c r="D128" s="282" t="s">
        <v>1245</v>
      </c>
      <c r="E128" s="283">
        <f t="shared" si="1"/>
        <v>42</v>
      </c>
      <c r="F128" s="285" t="s">
        <v>1032</v>
      </c>
      <c r="G128" s="459" t="s">
        <v>657</v>
      </c>
      <c r="H128" s="459" t="s">
        <v>1595</v>
      </c>
      <c r="I128" s="286" t="s">
        <v>650</v>
      </c>
    </row>
    <row r="129" spans="3:9">
      <c r="C129" s="283">
        <v>123</v>
      </c>
      <c r="D129" s="282" t="s">
        <v>1246</v>
      </c>
      <c r="E129" s="283">
        <f t="shared" si="1"/>
        <v>42</v>
      </c>
      <c r="F129" s="285" t="s">
        <v>1033</v>
      </c>
      <c r="G129" s="459" t="s">
        <v>658</v>
      </c>
      <c r="H129" s="459" t="s">
        <v>1596</v>
      </c>
      <c r="I129" s="286" t="s">
        <v>650</v>
      </c>
    </row>
    <row r="130" spans="3:9">
      <c r="C130" s="283">
        <v>124</v>
      </c>
      <c r="D130" s="282" t="s">
        <v>1247</v>
      </c>
      <c r="E130" s="283">
        <f t="shared" si="1"/>
        <v>42</v>
      </c>
      <c r="F130" s="285" t="s">
        <v>1034</v>
      </c>
      <c r="G130" s="459" t="s">
        <v>659</v>
      </c>
      <c r="H130" s="459" t="s">
        <v>1597</v>
      </c>
      <c r="I130" s="286" t="s">
        <v>650</v>
      </c>
    </row>
    <row r="131" spans="3:9">
      <c r="C131" s="283">
        <v>125</v>
      </c>
      <c r="D131" s="282" t="s">
        <v>1248</v>
      </c>
      <c r="E131" s="283">
        <f t="shared" si="1"/>
        <v>42</v>
      </c>
      <c r="F131" s="285" t="s">
        <v>370</v>
      </c>
      <c r="G131" s="459" t="s">
        <v>520</v>
      </c>
      <c r="H131" s="459" t="s">
        <v>1598</v>
      </c>
      <c r="I131" s="286" t="s">
        <v>650</v>
      </c>
    </row>
    <row r="132" spans="3:9" ht="30">
      <c r="C132" s="283">
        <v>126</v>
      </c>
      <c r="D132" s="282" t="s">
        <v>1249</v>
      </c>
      <c r="E132" s="283">
        <f t="shared" si="1"/>
        <v>42</v>
      </c>
      <c r="F132" s="285" t="s">
        <v>1035</v>
      </c>
      <c r="G132" s="459" t="s">
        <v>660</v>
      </c>
      <c r="H132" s="459" t="s">
        <v>1599</v>
      </c>
      <c r="I132" s="286" t="s">
        <v>650</v>
      </c>
    </row>
    <row r="133" spans="3:9">
      <c r="C133" s="283">
        <v>127</v>
      </c>
      <c r="D133" s="282" t="s">
        <v>1250</v>
      </c>
      <c r="E133" s="283">
        <f t="shared" si="1"/>
        <v>42</v>
      </c>
      <c r="F133" s="285" t="s">
        <v>1036</v>
      </c>
      <c r="G133" s="459" t="s">
        <v>663</v>
      </c>
      <c r="H133" s="459" t="s">
        <v>1600</v>
      </c>
      <c r="I133" s="286" t="s">
        <v>650</v>
      </c>
    </row>
    <row r="134" spans="3:9" ht="30">
      <c r="C134" s="283">
        <v>128</v>
      </c>
      <c r="D134" s="282" t="s">
        <v>1251</v>
      </c>
      <c r="E134" s="283">
        <f t="shared" si="1"/>
        <v>42</v>
      </c>
      <c r="F134" s="285" t="s">
        <v>1037</v>
      </c>
      <c r="G134" s="459" t="s">
        <v>661</v>
      </c>
      <c r="H134" s="459" t="s">
        <v>1601</v>
      </c>
      <c r="I134" s="286" t="s">
        <v>650</v>
      </c>
    </row>
    <row r="135" spans="3:9" ht="30">
      <c r="C135" s="283">
        <v>129</v>
      </c>
      <c r="D135" s="282" t="s">
        <v>1252</v>
      </c>
      <c r="E135" s="283">
        <f t="shared" si="1"/>
        <v>42</v>
      </c>
      <c r="F135" s="285" t="s">
        <v>1038</v>
      </c>
      <c r="G135" s="459" t="s">
        <v>662</v>
      </c>
      <c r="H135" s="459" t="s">
        <v>1602</v>
      </c>
      <c r="I135" s="286" t="s">
        <v>650</v>
      </c>
    </row>
    <row r="136" spans="3:9" ht="30">
      <c r="C136" s="283">
        <v>130</v>
      </c>
      <c r="D136" s="282" t="s">
        <v>1253</v>
      </c>
      <c r="E136" s="283">
        <f t="shared" ref="E136:E199" si="2">MID(I136,1,3)*1</f>
        <v>42</v>
      </c>
      <c r="F136" s="285" t="s">
        <v>1039</v>
      </c>
      <c r="G136" s="459" t="s">
        <v>669</v>
      </c>
      <c r="H136" s="459" t="s">
        <v>1603</v>
      </c>
      <c r="I136" s="286" t="s">
        <v>650</v>
      </c>
    </row>
    <row r="137" spans="3:9" ht="30">
      <c r="C137" s="283">
        <v>131</v>
      </c>
      <c r="D137" s="282" t="s">
        <v>1254</v>
      </c>
      <c r="E137" s="283">
        <f t="shared" si="2"/>
        <v>42</v>
      </c>
      <c r="F137" s="285" t="s">
        <v>1040</v>
      </c>
      <c r="G137" s="459" t="s">
        <v>670</v>
      </c>
      <c r="H137" s="459" t="s">
        <v>1604</v>
      </c>
      <c r="I137" s="286" t="s">
        <v>650</v>
      </c>
    </row>
    <row r="138" spans="3:9">
      <c r="C138" s="283">
        <v>132</v>
      </c>
      <c r="D138" s="282" t="s">
        <v>1255</v>
      </c>
      <c r="E138" s="283">
        <f t="shared" si="2"/>
        <v>42</v>
      </c>
      <c r="F138" s="285" t="s">
        <v>1041</v>
      </c>
      <c r="G138" s="459" t="s">
        <v>671</v>
      </c>
      <c r="H138" s="459" t="s">
        <v>1605</v>
      </c>
      <c r="I138" s="286" t="s">
        <v>650</v>
      </c>
    </row>
    <row r="139" spans="3:9">
      <c r="C139" s="283">
        <v>133</v>
      </c>
      <c r="D139" s="282" t="s">
        <v>1256</v>
      </c>
      <c r="E139" s="283">
        <f t="shared" si="2"/>
        <v>42</v>
      </c>
      <c r="F139" s="285" t="s">
        <v>1042</v>
      </c>
      <c r="G139" s="459" t="s">
        <v>664</v>
      </c>
      <c r="H139" s="459" t="s">
        <v>1606</v>
      </c>
      <c r="I139" s="286" t="s">
        <v>650</v>
      </c>
    </row>
    <row r="140" spans="3:9">
      <c r="C140" s="283">
        <v>134</v>
      </c>
      <c r="D140" s="282" t="s">
        <v>1257</v>
      </c>
      <c r="E140" s="283">
        <f t="shared" si="2"/>
        <v>42</v>
      </c>
      <c r="F140" s="285" t="s">
        <v>1043</v>
      </c>
      <c r="G140" s="459" t="s">
        <v>665</v>
      </c>
      <c r="H140" s="459" t="s">
        <v>1607</v>
      </c>
      <c r="I140" s="286" t="s">
        <v>650</v>
      </c>
    </row>
    <row r="141" spans="3:9">
      <c r="C141" s="283">
        <v>135</v>
      </c>
      <c r="D141" s="282" t="s">
        <v>1258</v>
      </c>
      <c r="E141" s="283">
        <f t="shared" si="2"/>
        <v>42</v>
      </c>
      <c r="F141" s="285" t="s">
        <v>1044</v>
      </c>
      <c r="G141" s="459" t="s">
        <v>666</v>
      </c>
      <c r="H141" s="459" t="s">
        <v>1608</v>
      </c>
      <c r="I141" s="286" t="s">
        <v>650</v>
      </c>
    </row>
    <row r="142" spans="3:9">
      <c r="C142" s="283">
        <v>136</v>
      </c>
      <c r="D142" s="282" t="s">
        <v>1259</v>
      </c>
      <c r="E142" s="283">
        <f t="shared" si="2"/>
        <v>42</v>
      </c>
      <c r="F142" s="285" t="s">
        <v>1045</v>
      </c>
      <c r="G142" s="459" t="s">
        <v>667</v>
      </c>
      <c r="H142" s="459" t="s">
        <v>1609</v>
      </c>
      <c r="I142" s="286" t="s">
        <v>650</v>
      </c>
    </row>
    <row r="143" spans="3:9">
      <c r="C143" s="283">
        <v>137</v>
      </c>
      <c r="D143" s="282" t="s">
        <v>1260</v>
      </c>
      <c r="E143" s="283">
        <f t="shared" si="2"/>
        <v>42</v>
      </c>
      <c r="F143" s="285" t="s">
        <v>1046</v>
      </c>
      <c r="G143" s="459" t="s">
        <v>668</v>
      </c>
      <c r="H143" s="459" t="s">
        <v>1610</v>
      </c>
      <c r="I143" s="286" t="s">
        <v>650</v>
      </c>
    </row>
    <row r="144" spans="3:9">
      <c r="C144" s="283">
        <v>138</v>
      </c>
      <c r="D144" s="282" t="s">
        <v>1261</v>
      </c>
      <c r="E144" s="283">
        <f t="shared" si="2"/>
        <v>42</v>
      </c>
      <c r="F144" s="285" t="s">
        <v>1047</v>
      </c>
      <c r="G144" s="459" t="s">
        <v>672</v>
      </c>
      <c r="H144" s="459" t="s">
        <v>1611</v>
      </c>
      <c r="I144" s="286" t="s">
        <v>650</v>
      </c>
    </row>
    <row r="145" spans="3:9" ht="30">
      <c r="C145" s="283">
        <v>139</v>
      </c>
      <c r="D145" s="282" t="s">
        <v>1262</v>
      </c>
      <c r="E145" s="283">
        <f t="shared" si="2"/>
        <v>42</v>
      </c>
      <c r="F145" s="285" t="s">
        <v>1048</v>
      </c>
      <c r="G145" s="459" t="s">
        <v>673</v>
      </c>
      <c r="H145" s="459" t="s">
        <v>1612</v>
      </c>
      <c r="I145" s="286" t="s">
        <v>650</v>
      </c>
    </row>
    <row r="146" spans="3:9" ht="30">
      <c r="C146" s="283">
        <v>140</v>
      </c>
      <c r="D146" s="282" t="s">
        <v>1263</v>
      </c>
      <c r="E146" s="283">
        <f t="shared" si="2"/>
        <v>42</v>
      </c>
      <c r="F146" s="285" t="s">
        <v>1049</v>
      </c>
      <c r="G146" s="459" t="s">
        <v>674</v>
      </c>
      <c r="H146" s="459" t="s">
        <v>1613</v>
      </c>
      <c r="I146" s="286" t="s">
        <v>650</v>
      </c>
    </row>
    <row r="147" spans="3:9">
      <c r="C147" s="283">
        <v>141</v>
      </c>
      <c r="D147" s="282" t="s">
        <v>1264</v>
      </c>
      <c r="E147" s="283">
        <f t="shared" si="2"/>
        <v>42</v>
      </c>
      <c r="F147" s="285" t="s">
        <v>1050</v>
      </c>
      <c r="G147" s="459" t="s">
        <v>675</v>
      </c>
      <c r="H147" s="459" t="s">
        <v>1614</v>
      </c>
      <c r="I147" s="286" t="s">
        <v>650</v>
      </c>
    </row>
    <row r="148" spans="3:9">
      <c r="C148" s="283">
        <v>142</v>
      </c>
      <c r="D148" s="282" t="s">
        <v>1265</v>
      </c>
      <c r="E148" s="283">
        <f t="shared" si="2"/>
        <v>42</v>
      </c>
      <c r="F148" s="285" t="s">
        <v>1051</v>
      </c>
      <c r="G148" s="459" t="s">
        <v>676</v>
      </c>
      <c r="H148" s="459" t="s">
        <v>1615</v>
      </c>
      <c r="I148" s="286" t="s">
        <v>650</v>
      </c>
    </row>
    <row r="149" spans="3:9">
      <c r="C149" s="283">
        <v>143</v>
      </c>
      <c r="D149" s="282" t="s">
        <v>1266</v>
      </c>
      <c r="E149" s="283">
        <f t="shared" si="2"/>
        <v>42</v>
      </c>
      <c r="F149" s="285" t="s">
        <v>1052</v>
      </c>
      <c r="G149" s="459" t="s">
        <v>677</v>
      </c>
      <c r="H149" s="459" t="s">
        <v>1616</v>
      </c>
      <c r="I149" s="286" t="s">
        <v>650</v>
      </c>
    </row>
    <row r="150" spans="3:9" ht="30">
      <c r="C150" s="283">
        <v>144</v>
      </c>
      <c r="D150" s="282" t="s">
        <v>1267</v>
      </c>
      <c r="E150" s="283">
        <f t="shared" si="2"/>
        <v>42</v>
      </c>
      <c r="F150" s="285" t="s">
        <v>1053</v>
      </c>
      <c r="G150" s="459" t="s">
        <v>678</v>
      </c>
      <c r="H150" s="459" t="s">
        <v>1612</v>
      </c>
      <c r="I150" s="286" t="s">
        <v>650</v>
      </c>
    </row>
    <row r="151" spans="3:9" ht="30">
      <c r="C151" s="283">
        <v>145</v>
      </c>
      <c r="D151" s="282" t="s">
        <v>1268</v>
      </c>
      <c r="E151" s="283">
        <f t="shared" si="2"/>
        <v>42</v>
      </c>
      <c r="F151" s="285" t="s">
        <v>1054</v>
      </c>
      <c r="G151" s="459" t="s">
        <v>679</v>
      </c>
      <c r="H151" s="459" t="s">
        <v>1617</v>
      </c>
      <c r="I151" s="286" t="s">
        <v>650</v>
      </c>
    </row>
    <row r="152" spans="3:9" ht="30">
      <c r="C152" s="283">
        <v>146</v>
      </c>
      <c r="D152" s="282" t="s">
        <v>1269</v>
      </c>
      <c r="E152" s="283">
        <f t="shared" si="2"/>
        <v>42</v>
      </c>
      <c r="F152" s="285" t="s">
        <v>1055</v>
      </c>
      <c r="G152" s="459" t="s">
        <v>680</v>
      </c>
      <c r="H152" s="459" t="s">
        <v>1618</v>
      </c>
      <c r="I152" s="286" t="s">
        <v>650</v>
      </c>
    </row>
    <row r="153" spans="3:9" ht="30">
      <c r="C153" s="283">
        <v>147</v>
      </c>
      <c r="D153" s="282" t="s">
        <v>1270</v>
      </c>
      <c r="E153" s="283">
        <f t="shared" si="2"/>
        <v>42</v>
      </c>
      <c r="F153" s="285" t="s">
        <v>1056</v>
      </c>
      <c r="G153" s="459" t="s">
        <v>682</v>
      </c>
      <c r="H153" s="459" t="s">
        <v>1619</v>
      </c>
      <c r="I153" s="286" t="s">
        <v>650</v>
      </c>
    </row>
    <row r="154" spans="3:9" ht="30">
      <c r="C154" s="283">
        <v>148</v>
      </c>
      <c r="D154" s="282" t="s">
        <v>1271</v>
      </c>
      <c r="E154" s="283">
        <f t="shared" si="2"/>
        <v>42</v>
      </c>
      <c r="F154" s="285" t="s">
        <v>1057</v>
      </c>
      <c r="G154" s="459" t="s">
        <v>683</v>
      </c>
      <c r="H154" s="459" t="s">
        <v>1612</v>
      </c>
      <c r="I154" s="286" t="s">
        <v>650</v>
      </c>
    </row>
    <row r="155" spans="3:9" ht="30">
      <c r="C155" s="283">
        <v>149</v>
      </c>
      <c r="D155" s="282" t="s">
        <v>1272</v>
      </c>
      <c r="E155" s="283">
        <f t="shared" si="2"/>
        <v>42</v>
      </c>
      <c r="F155" s="285" t="s">
        <v>1058</v>
      </c>
      <c r="G155" s="459" t="s">
        <v>684</v>
      </c>
      <c r="H155" s="459" t="s">
        <v>1620</v>
      </c>
      <c r="I155" s="286" t="s">
        <v>650</v>
      </c>
    </row>
    <row r="156" spans="3:9" ht="30">
      <c r="C156" s="283">
        <v>150</v>
      </c>
      <c r="D156" s="282" t="s">
        <v>1273</v>
      </c>
      <c r="E156" s="283">
        <f t="shared" si="2"/>
        <v>42</v>
      </c>
      <c r="F156" s="285" t="s">
        <v>1059</v>
      </c>
      <c r="G156" s="459" t="s">
        <v>685</v>
      </c>
      <c r="H156" s="459" t="s">
        <v>1621</v>
      </c>
      <c r="I156" s="286" t="s">
        <v>650</v>
      </c>
    </row>
    <row r="157" spans="3:9" ht="30">
      <c r="C157" s="283">
        <v>151</v>
      </c>
      <c r="D157" s="282" t="s">
        <v>1274</v>
      </c>
      <c r="E157" s="283">
        <f t="shared" si="2"/>
        <v>42</v>
      </c>
      <c r="F157" s="285" t="s">
        <v>1060</v>
      </c>
      <c r="G157" s="459" t="s">
        <v>686</v>
      </c>
      <c r="H157" s="459" t="s">
        <v>1622</v>
      </c>
      <c r="I157" s="286" t="s">
        <v>650</v>
      </c>
    </row>
    <row r="158" spans="3:9">
      <c r="C158" s="283">
        <v>152</v>
      </c>
      <c r="D158" s="282" t="s">
        <v>1275</v>
      </c>
      <c r="E158" s="283">
        <f t="shared" si="2"/>
        <v>42</v>
      </c>
      <c r="F158" s="285" t="s">
        <v>1061</v>
      </c>
      <c r="G158" s="459" t="s">
        <v>687</v>
      </c>
      <c r="H158" s="459" t="s">
        <v>1623</v>
      </c>
      <c r="I158" s="286" t="s">
        <v>650</v>
      </c>
    </row>
    <row r="159" spans="3:9">
      <c r="C159" s="283">
        <v>153</v>
      </c>
      <c r="D159" s="282" t="s">
        <v>1276</v>
      </c>
      <c r="E159" s="283">
        <f t="shared" si="2"/>
        <v>42</v>
      </c>
      <c r="F159" s="285" t="s">
        <v>1062</v>
      </c>
      <c r="G159" s="459" t="s">
        <v>681</v>
      </c>
      <c r="H159" s="459" t="s">
        <v>1624</v>
      </c>
      <c r="I159" s="286" t="s">
        <v>650</v>
      </c>
    </row>
    <row r="160" spans="3:9">
      <c r="C160" s="283">
        <v>154</v>
      </c>
      <c r="D160" s="282" t="s">
        <v>1277</v>
      </c>
      <c r="E160" s="283">
        <f t="shared" si="2"/>
        <v>42</v>
      </c>
      <c r="F160" s="285" t="s">
        <v>1063</v>
      </c>
      <c r="G160" s="459" t="s">
        <v>688</v>
      </c>
      <c r="H160" s="459" t="s">
        <v>1625</v>
      </c>
      <c r="I160" s="286" t="s">
        <v>650</v>
      </c>
    </row>
    <row r="161" spans="3:9">
      <c r="C161" s="283">
        <v>155</v>
      </c>
      <c r="D161" s="282" t="s">
        <v>1278</v>
      </c>
      <c r="E161" s="283">
        <f t="shared" si="2"/>
        <v>42</v>
      </c>
      <c r="F161" s="285" t="s">
        <v>1064</v>
      </c>
      <c r="G161" s="459" t="s">
        <v>689</v>
      </c>
      <c r="H161" s="459" t="s">
        <v>1626</v>
      </c>
      <c r="I161" s="286" t="s">
        <v>650</v>
      </c>
    </row>
    <row r="162" spans="3:9">
      <c r="C162" s="283">
        <v>156</v>
      </c>
      <c r="D162" s="282" t="s">
        <v>1279</v>
      </c>
      <c r="E162" s="283">
        <f t="shared" si="2"/>
        <v>42</v>
      </c>
      <c r="F162" s="285" t="s">
        <v>1065</v>
      </c>
      <c r="G162" s="459" t="s">
        <v>690</v>
      </c>
      <c r="H162" s="459" t="s">
        <v>1627</v>
      </c>
      <c r="I162" s="286" t="s">
        <v>650</v>
      </c>
    </row>
    <row r="163" spans="3:9">
      <c r="C163" s="283">
        <v>157</v>
      </c>
      <c r="D163" s="282" t="s">
        <v>1280</v>
      </c>
      <c r="E163" s="283">
        <f t="shared" si="2"/>
        <v>42</v>
      </c>
      <c r="F163" s="285" t="s">
        <v>1066</v>
      </c>
      <c r="G163" s="459" t="s">
        <v>691</v>
      </c>
      <c r="H163" s="459" t="s">
        <v>1628</v>
      </c>
      <c r="I163" s="286" t="s">
        <v>650</v>
      </c>
    </row>
    <row r="164" spans="3:9" ht="30">
      <c r="C164" s="283">
        <v>158</v>
      </c>
      <c r="D164" s="282" t="s">
        <v>1281</v>
      </c>
      <c r="E164" s="283">
        <f t="shared" si="2"/>
        <v>42</v>
      </c>
      <c r="F164" s="285" t="s">
        <v>1067</v>
      </c>
      <c r="G164" s="459" t="s">
        <v>692</v>
      </c>
      <c r="H164" s="459" t="s">
        <v>1629</v>
      </c>
      <c r="I164" s="286" t="s">
        <v>650</v>
      </c>
    </row>
    <row r="165" spans="3:9">
      <c r="C165" s="283">
        <v>159</v>
      </c>
      <c r="D165" s="282" t="s">
        <v>1282</v>
      </c>
      <c r="E165" s="283">
        <f t="shared" si="2"/>
        <v>42</v>
      </c>
      <c r="F165" s="285" t="s">
        <v>1068</v>
      </c>
      <c r="G165" s="459" t="s">
        <v>693</v>
      </c>
      <c r="H165" s="459" t="s">
        <v>1630</v>
      </c>
      <c r="I165" s="286" t="s">
        <v>650</v>
      </c>
    </row>
    <row r="166" spans="3:9">
      <c r="C166" s="283">
        <v>160</v>
      </c>
      <c r="D166" s="282" t="s">
        <v>1283</v>
      </c>
      <c r="E166" s="283">
        <f t="shared" si="2"/>
        <v>42</v>
      </c>
      <c r="F166" s="285" t="s">
        <v>1069</v>
      </c>
      <c r="G166" s="459" t="s">
        <v>694</v>
      </c>
      <c r="H166" s="459" t="s">
        <v>1631</v>
      </c>
      <c r="I166" s="286" t="s">
        <v>650</v>
      </c>
    </row>
    <row r="167" spans="3:9" ht="30">
      <c r="C167" s="283">
        <v>161</v>
      </c>
      <c r="D167" s="282" t="s">
        <v>1284</v>
      </c>
      <c r="E167" s="283">
        <f t="shared" si="2"/>
        <v>42</v>
      </c>
      <c r="F167" s="285" t="s">
        <v>1070</v>
      </c>
      <c r="G167" s="459" t="s">
        <v>695</v>
      </c>
      <c r="H167" s="459" t="s">
        <v>1632</v>
      </c>
      <c r="I167" s="286" t="s">
        <v>650</v>
      </c>
    </row>
    <row r="168" spans="3:9" ht="30">
      <c r="C168" s="283">
        <v>162</v>
      </c>
      <c r="D168" s="282" t="s">
        <v>1285</v>
      </c>
      <c r="E168" s="283">
        <f t="shared" si="2"/>
        <v>42</v>
      </c>
      <c r="F168" s="285" t="s">
        <v>1071</v>
      </c>
      <c r="G168" s="459" t="s">
        <v>523</v>
      </c>
      <c r="H168" s="459" t="s">
        <v>1633</v>
      </c>
      <c r="I168" s="286" t="s">
        <v>650</v>
      </c>
    </row>
    <row r="169" spans="3:9">
      <c r="C169" s="283">
        <v>163</v>
      </c>
      <c r="D169" s="282" t="s">
        <v>1286</v>
      </c>
      <c r="E169" s="283">
        <f t="shared" si="2"/>
        <v>42</v>
      </c>
      <c r="F169" s="285" t="s">
        <v>1072</v>
      </c>
      <c r="G169" s="459" t="s">
        <v>696</v>
      </c>
      <c r="H169" s="459" t="s">
        <v>1634</v>
      </c>
      <c r="I169" s="286" t="s">
        <v>650</v>
      </c>
    </row>
    <row r="170" spans="3:9">
      <c r="C170" s="283">
        <v>164</v>
      </c>
      <c r="D170" s="282" t="s">
        <v>1287</v>
      </c>
      <c r="E170" s="283">
        <f t="shared" si="2"/>
        <v>42</v>
      </c>
      <c r="F170" s="285" t="s">
        <v>1073</v>
      </c>
      <c r="G170" s="459" t="s">
        <v>697</v>
      </c>
      <c r="H170" s="459" t="s">
        <v>1594</v>
      </c>
      <c r="I170" s="286" t="s">
        <v>650</v>
      </c>
    </row>
    <row r="171" spans="3:9">
      <c r="C171" s="283">
        <v>165</v>
      </c>
      <c r="D171" s="282" t="s">
        <v>1288</v>
      </c>
      <c r="E171" s="283">
        <f t="shared" si="2"/>
        <v>43</v>
      </c>
      <c r="F171" s="285" t="s">
        <v>1074</v>
      </c>
      <c r="G171" s="459" t="s">
        <v>699</v>
      </c>
      <c r="H171" s="459" t="s">
        <v>1635</v>
      </c>
      <c r="I171" s="286" t="s">
        <v>698</v>
      </c>
    </row>
    <row r="172" spans="3:9">
      <c r="C172" s="283">
        <v>166</v>
      </c>
      <c r="D172" s="282" t="s">
        <v>1289</v>
      </c>
      <c r="E172" s="283">
        <f t="shared" si="2"/>
        <v>43</v>
      </c>
      <c r="F172" s="285" t="s">
        <v>1032</v>
      </c>
      <c r="G172" s="459" t="s">
        <v>657</v>
      </c>
      <c r="H172" s="459" t="s">
        <v>1636</v>
      </c>
      <c r="I172" s="286" t="s">
        <v>698</v>
      </c>
    </row>
    <row r="173" spans="3:9">
      <c r="C173" s="283">
        <v>167</v>
      </c>
      <c r="D173" s="282" t="s">
        <v>1290</v>
      </c>
      <c r="E173" s="283">
        <f t="shared" si="2"/>
        <v>43</v>
      </c>
      <c r="F173" s="285" t="s">
        <v>1075</v>
      </c>
      <c r="G173" s="459" t="s">
        <v>14</v>
      </c>
      <c r="H173" s="459" t="s">
        <v>1637</v>
      </c>
      <c r="I173" s="286" t="s">
        <v>698</v>
      </c>
    </row>
    <row r="174" spans="3:9">
      <c r="C174" s="283">
        <v>168</v>
      </c>
      <c r="D174" s="282" t="s">
        <v>1291</v>
      </c>
      <c r="E174" s="283">
        <f t="shared" si="2"/>
        <v>43</v>
      </c>
      <c r="F174" s="285" t="s">
        <v>1076</v>
      </c>
      <c r="G174" s="459" t="s">
        <v>700</v>
      </c>
      <c r="H174" s="459" t="s">
        <v>1638</v>
      </c>
      <c r="I174" s="286" t="s">
        <v>698</v>
      </c>
    </row>
    <row r="175" spans="3:9">
      <c r="C175" s="283">
        <v>169</v>
      </c>
      <c r="D175" s="282" t="s">
        <v>1292</v>
      </c>
      <c r="E175" s="283">
        <f t="shared" si="2"/>
        <v>43</v>
      </c>
      <c r="F175" s="285" t="s">
        <v>1077</v>
      </c>
      <c r="G175" s="459" t="s">
        <v>701</v>
      </c>
      <c r="H175" s="459" t="s">
        <v>1639</v>
      </c>
      <c r="I175" s="286" t="s">
        <v>698</v>
      </c>
    </row>
    <row r="176" spans="3:9">
      <c r="C176" s="283">
        <v>170</v>
      </c>
      <c r="D176" s="282" t="s">
        <v>1293</v>
      </c>
      <c r="E176" s="283">
        <f t="shared" si="2"/>
        <v>43</v>
      </c>
      <c r="F176" s="285" t="s">
        <v>1078</v>
      </c>
      <c r="G176" s="459" t="s">
        <v>702</v>
      </c>
      <c r="H176" s="459" t="s">
        <v>1640</v>
      </c>
      <c r="I176" s="286" t="s">
        <v>698</v>
      </c>
    </row>
    <row r="177" spans="3:9" ht="30">
      <c r="C177" s="283">
        <v>171</v>
      </c>
      <c r="D177" s="282" t="s">
        <v>1294</v>
      </c>
      <c r="E177" s="283">
        <f t="shared" si="2"/>
        <v>43</v>
      </c>
      <c r="F177" s="285" t="s">
        <v>1079</v>
      </c>
      <c r="G177" s="459" t="s">
        <v>703</v>
      </c>
      <c r="H177" s="459" t="s">
        <v>1641</v>
      </c>
      <c r="I177" s="286" t="s">
        <v>698</v>
      </c>
    </row>
    <row r="178" spans="3:9" ht="30">
      <c r="C178" s="283">
        <v>172</v>
      </c>
      <c r="D178" s="282" t="s">
        <v>1295</v>
      </c>
      <c r="E178" s="283">
        <f t="shared" si="2"/>
        <v>43</v>
      </c>
      <c r="F178" s="285" t="s">
        <v>1080</v>
      </c>
      <c r="G178" s="459" t="s">
        <v>704</v>
      </c>
      <c r="H178" s="459" t="s">
        <v>1642</v>
      </c>
      <c r="I178" s="286" t="s">
        <v>698</v>
      </c>
    </row>
    <row r="179" spans="3:9">
      <c r="C179" s="283">
        <v>173</v>
      </c>
      <c r="D179" s="282" t="s">
        <v>1296</v>
      </c>
      <c r="E179" s="283">
        <f t="shared" si="2"/>
        <v>43</v>
      </c>
      <c r="F179" s="285" t="s">
        <v>1081</v>
      </c>
      <c r="G179" s="459" t="s">
        <v>705</v>
      </c>
      <c r="H179" s="459" t="s">
        <v>1643</v>
      </c>
      <c r="I179" s="286" t="s">
        <v>698</v>
      </c>
    </row>
    <row r="180" spans="3:9">
      <c r="C180" s="283">
        <v>174</v>
      </c>
      <c r="D180" s="282" t="s">
        <v>1297</v>
      </c>
      <c r="E180" s="283">
        <f t="shared" si="2"/>
        <v>43</v>
      </c>
      <c r="F180" s="285" t="s">
        <v>1082</v>
      </c>
      <c r="G180" s="459" t="s">
        <v>706</v>
      </c>
      <c r="H180" s="459" t="s">
        <v>1644</v>
      </c>
      <c r="I180" s="286" t="s">
        <v>698</v>
      </c>
    </row>
    <row r="181" spans="3:9">
      <c r="C181" s="283">
        <v>175</v>
      </c>
      <c r="D181" s="282" t="s">
        <v>1298</v>
      </c>
      <c r="E181" s="283">
        <f t="shared" si="2"/>
        <v>43</v>
      </c>
      <c r="F181" s="285" t="s">
        <v>1083</v>
      </c>
      <c r="G181" s="459" t="s">
        <v>707</v>
      </c>
      <c r="H181" s="459" t="s">
        <v>1645</v>
      </c>
      <c r="I181" s="286" t="s">
        <v>698</v>
      </c>
    </row>
    <row r="182" spans="3:9">
      <c r="C182" s="283">
        <v>176</v>
      </c>
      <c r="D182" s="282" t="s">
        <v>1299</v>
      </c>
      <c r="E182" s="283">
        <f t="shared" si="2"/>
        <v>43</v>
      </c>
      <c r="F182" s="285" t="s">
        <v>1084</v>
      </c>
      <c r="G182" s="459" t="s">
        <v>708</v>
      </c>
      <c r="H182" s="459" t="s">
        <v>1646</v>
      </c>
      <c r="I182" s="286" t="s">
        <v>698</v>
      </c>
    </row>
    <row r="183" spans="3:9">
      <c r="C183" s="283">
        <v>177</v>
      </c>
      <c r="D183" s="282" t="s">
        <v>1300</v>
      </c>
      <c r="E183" s="283">
        <f t="shared" si="2"/>
        <v>43</v>
      </c>
      <c r="F183" s="285" t="s">
        <v>1085</v>
      </c>
      <c r="G183" s="459" t="s">
        <v>709</v>
      </c>
      <c r="H183" s="459" t="s">
        <v>1647</v>
      </c>
      <c r="I183" s="286" t="s">
        <v>698</v>
      </c>
    </row>
    <row r="184" spans="3:9">
      <c r="C184" s="283">
        <v>178</v>
      </c>
      <c r="D184" s="282" t="s">
        <v>1301</v>
      </c>
      <c r="E184" s="283">
        <f t="shared" si="2"/>
        <v>43</v>
      </c>
      <c r="F184" s="285" t="s">
        <v>4</v>
      </c>
      <c r="G184" s="459" t="s">
        <v>710</v>
      </c>
      <c r="H184" s="459" t="s">
        <v>1648</v>
      </c>
      <c r="I184" s="286" t="s">
        <v>698</v>
      </c>
    </row>
    <row r="185" spans="3:9">
      <c r="C185" s="283">
        <v>179</v>
      </c>
      <c r="D185" s="282" t="s">
        <v>1302</v>
      </c>
      <c r="E185" s="283">
        <f t="shared" si="2"/>
        <v>43</v>
      </c>
      <c r="F185" s="285" t="s">
        <v>1086</v>
      </c>
      <c r="G185" s="459" t="s">
        <v>711</v>
      </c>
      <c r="H185" s="459" t="s">
        <v>1649</v>
      </c>
      <c r="I185" s="286" t="s">
        <v>698</v>
      </c>
    </row>
    <row r="186" spans="3:9">
      <c r="C186" s="283">
        <v>180</v>
      </c>
      <c r="D186" s="282" t="s">
        <v>1303</v>
      </c>
      <c r="E186" s="283">
        <f t="shared" si="2"/>
        <v>43</v>
      </c>
      <c r="F186" s="285" t="s">
        <v>1087</v>
      </c>
      <c r="G186" s="459" t="s">
        <v>712</v>
      </c>
      <c r="H186" s="459" t="s">
        <v>1650</v>
      </c>
      <c r="I186" s="286" t="s">
        <v>698</v>
      </c>
    </row>
    <row r="187" spans="3:9">
      <c r="C187" s="283">
        <v>181</v>
      </c>
      <c r="D187" s="282" t="s">
        <v>1304</v>
      </c>
      <c r="E187" s="283">
        <f t="shared" si="2"/>
        <v>43</v>
      </c>
      <c r="F187" s="285" t="s">
        <v>1088</v>
      </c>
      <c r="G187" s="459" t="s">
        <v>713</v>
      </c>
      <c r="H187" s="459" t="s">
        <v>1651</v>
      </c>
      <c r="I187" s="286" t="s">
        <v>698</v>
      </c>
    </row>
    <row r="188" spans="3:9">
      <c r="C188" s="283">
        <v>182</v>
      </c>
      <c r="D188" s="282" t="s">
        <v>1305</v>
      </c>
      <c r="E188" s="283">
        <f t="shared" si="2"/>
        <v>43</v>
      </c>
      <c r="F188" s="285" t="s">
        <v>1089</v>
      </c>
      <c r="G188" s="459" t="s">
        <v>714</v>
      </c>
      <c r="H188" s="459" t="s">
        <v>1652</v>
      </c>
      <c r="I188" s="286" t="s">
        <v>698</v>
      </c>
    </row>
    <row r="189" spans="3:9">
      <c r="C189" s="283">
        <v>183</v>
      </c>
      <c r="D189" s="282" t="s">
        <v>1306</v>
      </c>
      <c r="E189" s="283">
        <f t="shared" si="2"/>
        <v>43</v>
      </c>
      <c r="F189" s="285" t="s">
        <v>1090</v>
      </c>
      <c r="G189" s="459" t="s">
        <v>715</v>
      </c>
      <c r="H189" s="459" t="s">
        <v>1653</v>
      </c>
      <c r="I189" s="286" t="s">
        <v>698</v>
      </c>
    </row>
    <row r="190" spans="3:9">
      <c r="C190" s="283">
        <v>184</v>
      </c>
      <c r="D190" s="282" t="s">
        <v>1307</v>
      </c>
      <c r="E190" s="283">
        <f t="shared" si="2"/>
        <v>43</v>
      </c>
      <c r="F190" s="285" t="s">
        <v>1091</v>
      </c>
      <c r="G190" s="459" t="s">
        <v>716</v>
      </c>
      <c r="H190" s="459" t="s">
        <v>1654</v>
      </c>
      <c r="I190" s="286" t="s">
        <v>698</v>
      </c>
    </row>
    <row r="191" spans="3:9" ht="30">
      <c r="C191" s="283">
        <v>185</v>
      </c>
      <c r="D191" s="282" t="s">
        <v>1308</v>
      </c>
      <c r="E191" s="283">
        <f t="shared" si="2"/>
        <v>43</v>
      </c>
      <c r="F191" s="285" t="s">
        <v>1092</v>
      </c>
      <c r="G191" s="459" t="s">
        <v>717</v>
      </c>
      <c r="H191" s="459" t="s">
        <v>1655</v>
      </c>
      <c r="I191" s="286" t="s">
        <v>698</v>
      </c>
    </row>
    <row r="192" spans="3:9" ht="30">
      <c r="C192" s="283">
        <v>186</v>
      </c>
      <c r="D192" s="282" t="s">
        <v>1309</v>
      </c>
      <c r="E192" s="283">
        <f t="shared" si="2"/>
        <v>43</v>
      </c>
      <c r="F192" s="285" t="s">
        <v>1093</v>
      </c>
      <c r="G192" s="459" t="s">
        <v>718</v>
      </c>
      <c r="H192" s="459" t="s">
        <v>1656</v>
      </c>
      <c r="I192" s="286" t="s">
        <v>698</v>
      </c>
    </row>
    <row r="193" spans="3:9" ht="30">
      <c r="C193" s="283">
        <v>187</v>
      </c>
      <c r="D193" s="282" t="s">
        <v>1310</v>
      </c>
      <c r="E193" s="283">
        <f t="shared" si="2"/>
        <v>43</v>
      </c>
      <c r="F193" s="285" t="s">
        <v>1094</v>
      </c>
      <c r="G193" s="459" t="s">
        <v>719</v>
      </c>
      <c r="H193" s="459" t="s">
        <v>541</v>
      </c>
      <c r="I193" s="286" t="s">
        <v>698</v>
      </c>
    </row>
    <row r="194" spans="3:9" ht="30">
      <c r="C194" s="283">
        <v>188</v>
      </c>
      <c r="D194" s="282" t="s">
        <v>1311</v>
      </c>
      <c r="E194" s="283">
        <f t="shared" si="2"/>
        <v>43</v>
      </c>
      <c r="F194" s="285" t="s">
        <v>1095</v>
      </c>
      <c r="G194" s="459" t="s">
        <v>720</v>
      </c>
      <c r="H194" s="459" t="s">
        <v>1657</v>
      </c>
      <c r="I194" s="286" t="s">
        <v>698</v>
      </c>
    </row>
    <row r="195" spans="3:9">
      <c r="C195" s="283">
        <v>189</v>
      </c>
      <c r="D195" s="282" t="s">
        <v>1312</v>
      </c>
      <c r="E195" s="283">
        <f t="shared" si="2"/>
        <v>44</v>
      </c>
      <c r="F195" s="285" t="s">
        <v>518</v>
      </c>
      <c r="G195" s="459" t="s">
        <v>541</v>
      </c>
      <c r="H195" s="459" t="s">
        <v>1658</v>
      </c>
      <c r="I195" s="286" t="s">
        <v>539</v>
      </c>
    </row>
    <row r="196" spans="3:9">
      <c r="C196" s="283">
        <v>190</v>
      </c>
      <c r="D196" s="282" t="s">
        <v>1313</v>
      </c>
      <c r="E196" s="283">
        <f t="shared" si="2"/>
        <v>44</v>
      </c>
      <c r="F196" s="285" t="s">
        <v>888</v>
      </c>
      <c r="G196" s="459" t="s">
        <v>721</v>
      </c>
      <c r="H196" s="459" t="s">
        <v>1659</v>
      </c>
      <c r="I196" s="286" t="s">
        <v>539</v>
      </c>
    </row>
    <row r="197" spans="3:9">
      <c r="C197" s="283">
        <v>191</v>
      </c>
      <c r="D197" s="282" t="s">
        <v>1314</v>
      </c>
      <c r="E197" s="283">
        <f t="shared" si="2"/>
        <v>44</v>
      </c>
      <c r="F197" s="285" t="s">
        <v>1096</v>
      </c>
      <c r="G197" s="459" t="s">
        <v>722</v>
      </c>
      <c r="H197" s="459" t="s">
        <v>1660</v>
      </c>
      <c r="I197" s="286" t="s">
        <v>539</v>
      </c>
    </row>
    <row r="198" spans="3:9">
      <c r="C198" s="283">
        <v>192</v>
      </c>
      <c r="D198" s="282" t="s">
        <v>1315</v>
      </c>
      <c r="E198" s="283">
        <f t="shared" si="2"/>
        <v>44</v>
      </c>
      <c r="F198" s="285" t="s">
        <v>1097</v>
      </c>
      <c r="G198" s="459" t="s">
        <v>723</v>
      </c>
      <c r="H198" s="459" t="s">
        <v>1661</v>
      </c>
      <c r="I198" s="286" t="s">
        <v>539</v>
      </c>
    </row>
    <row r="199" spans="3:9">
      <c r="C199" s="283">
        <v>193</v>
      </c>
      <c r="D199" s="282" t="s">
        <v>1316</v>
      </c>
      <c r="E199" s="283">
        <f t="shared" si="2"/>
        <v>44</v>
      </c>
      <c r="F199" s="285" t="s">
        <v>1098</v>
      </c>
      <c r="G199" s="459" t="s">
        <v>724</v>
      </c>
      <c r="H199" s="459" t="s">
        <v>1662</v>
      </c>
      <c r="I199" s="286" t="s">
        <v>539</v>
      </c>
    </row>
    <row r="200" spans="3:9">
      <c r="C200" s="283">
        <v>194</v>
      </c>
      <c r="D200" s="282" t="s">
        <v>1317</v>
      </c>
      <c r="E200" s="283">
        <f t="shared" ref="E200:E263" si="3">MID(I200,1,3)*1</f>
        <v>44</v>
      </c>
      <c r="F200" s="285" t="s">
        <v>1099</v>
      </c>
      <c r="G200" s="459" t="s">
        <v>725</v>
      </c>
      <c r="H200" s="459" t="s">
        <v>1663</v>
      </c>
      <c r="I200" s="286" t="s">
        <v>539</v>
      </c>
    </row>
    <row r="201" spans="3:9" ht="30">
      <c r="C201" s="283">
        <v>195</v>
      </c>
      <c r="D201" s="282" t="s">
        <v>1318</v>
      </c>
      <c r="E201" s="283">
        <f t="shared" si="3"/>
        <v>44</v>
      </c>
      <c r="F201" s="285" t="s">
        <v>1100</v>
      </c>
      <c r="G201" s="459" t="s">
        <v>726</v>
      </c>
      <c r="H201" s="459" t="s">
        <v>1664</v>
      </c>
      <c r="I201" s="286" t="s">
        <v>539</v>
      </c>
    </row>
    <row r="202" spans="3:9" ht="45">
      <c r="C202" s="283">
        <v>196</v>
      </c>
      <c r="D202" s="282" t="s">
        <v>1319</v>
      </c>
      <c r="E202" s="283">
        <f t="shared" si="3"/>
        <v>44</v>
      </c>
      <c r="F202" s="285" t="s">
        <v>1101</v>
      </c>
      <c r="G202" s="459" t="s">
        <v>727</v>
      </c>
      <c r="H202" s="459" t="s">
        <v>1665</v>
      </c>
      <c r="I202" s="286" t="s">
        <v>539</v>
      </c>
    </row>
    <row r="203" spans="3:9" ht="30">
      <c r="C203" s="283">
        <v>197</v>
      </c>
      <c r="D203" s="282" t="s">
        <v>1320</v>
      </c>
      <c r="E203" s="283">
        <f t="shared" si="3"/>
        <v>44</v>
      </c>
      <c r="F203" s="285" t="s">
        <v>1102</v>
      </c>
      <c r="G203" s="459" t="s">
        <v>728</v>
      </c>
      <c r="H203" s="459" t="s">
        <v>1666</v>
      </c>
      <c r="I203" s="286" t="s">
        <v>539</v>
      </c>
    </row>
    <row r="204" spans="3:9" ht="30">
      <c r="C204" s="283">
        <v>198</v>
      </c>
      <c r="D204" s="282" t="s">
        <v>1321</v>
      </c>
      <c r="E204" s="283">
        <f t="shared" si="3"/>
        <v>44</v>
      </c>
      <c r="F204" s="285" t="s">
        <v>1103</v>
      </c>
      <c r="G204" s="459" t="s">
        <v>729</v>
      </c>
      <c r="H204" s="459" t="s">
        <v>1667</v>
      </c>
      <c r="I204" s="286" t="s">
        <v>539</v>
      </c>
    </row>
    <row r="205" spans="3:9" ht="30">
      <c r="C205" s="283">
        <v>199</v>
      </c>
      <c r="D205" s="282" t="s">
        <v>1322</v>
      </c>
      <c r="E205" s="283">
        <f t="shared" si="3"/>
        <v>44</v>
      </c>
      <c r="F205" s="285" t="s">
        <v>1104</v>
      </c>
      <c r="G205" s="459" t="s">
        <v>730</v>
      </c>
      <c r="H205" s="459" t="s">
        <v>1668</v>
      </c>
      <c r="I205" s="286" t="s">
        <v>539</v>
      </c>
    </row>
    <row r="206" spans="3:9">
      <c r="C206" s="283">
        <v>200</v>
      </c>
      <c r="D206" s="282" t="s">
        <v>1323</v>
      </c>
      <c r="E206" s="283">
        <f t="shared" si="3"/>
        <v>44</v>
      </c>
      <c r="F206" s="285" t="s">
        <v>1105</v>
      </c>
      <c r="G206" s="459" t="s">
        <v>731</v>
      </c>
      <c r="H206" s="459" t="s">
        <v>1669</v>
      </c>
      <c r="I206" s="286" t="s">
        <v>539</v>
      </c>
    </row>
    <row r="207" spans="3:9">
      <c r="C207" s="283">
        <v>201</v>
      </c>
      <c r="D207" s="282" t="s">
        <v>1324</v>
      </c>
      <c r="E207" s="283">
        <f t="shared" si="3"/>
        <v>44</v>
      </c>
      <c r="F207" s="285" t="s">
        <v>1106</v>
      </c>
      <c r="G207" s="459" t="s">
        <v>732</v>
      </c>
      <c r="H207" s="459" t="s">
        <v>1670</v>
      </c>
      <c r="I207" s="286" t="s">
        <v>539</v>
      </c>
    </row>
    <row r="208" spans="3:9">
      <c r="C208" s="283">
        <v>202</v>
      </c>
      <c r="D208" s="282" t="s">
        <v>1325</v>
      </c>
      <c r="E208" s="283">
        <f t="shared" si="3"/>
        <v>44</v>
      </c>
      <c r="F208" s="285" t="s">
        <v>1107</v>
      </c>
      <c r="G208" s="459" t="s">
        <v>733</v>
      </c>
      <c r="H208" s="459" t="s">
        <v>1671</v>
      </c>
      <c r="I208" s="286" t="s">
        <v>539</v>
      </c>
    </row>
    <row r="209" spans="3:9">
      <c r="C209" s="283">
        <v>203</v>
      </c>
      <c r="D209" s="282" t="s">
        <v>1326</v>
      </c>
      <c r="E209" s="283">
        <f t="shared" si="3"/>
        <v>44</v>
      </c>
      <c r="F209" s="285" t="s">
        <v>1108</v>
      </c>
      <c r="G209" s="459" t="s">
        <v>734</v>
      </c>
      <c r="H209" s="459" t="s">
        <v>1672</v>
      </c>
      <c r="I209" s="286" t="s">
        <v>539</v>
      </c>
    </row>
    <row r="210" spans="3:9">
      <c r="C210" s="283">
        <v>204</v>
      </c>
      <c r="D210" s="282" t="s">
        <v>1327</v>
      </c>
      <c r="E210" s="283">
        <f t="shared" si="3"/>
        <v>44</v>
      </c>
      <c r="F210" s="285" t="s">
        <v>1109</v>
      </c>
      <c r="G210" s="459" t="s">
        <v>735</v>
      </c>
      <c r="H210" s="459" t="s">
        <v>1673</v>
      </c>
      <c r="I210" s="286" t="s">
        <v>539</v>
      </c>
    </row>
    <row r="211" spans="3:9">
      <c r="C211" s="283">
        <v>205</v>
      </c>
      <c r="D211" s="282" t="s">
        <v>1328</v>
      </c>
      <c r="E211" s="283">
        <f t="shared" si="3"/>
        <v>44</v>
      </c>
      <c r="F211" s="285" t="s">
        <v>1110</v>
      </c>
      <c r="G211" s="459" t="s">
        <v>736</v>
      </c>
      <c r="H211" s="459" t="s">
        <v>1674</v>
      </c>
      <c r="I211" s="286" t="s">
        <v>539</v>
      </c>
    </row>
    <row r="212" spans="3:9">
      <c r="C212" s="283">
        <v>206</v>
      </c>
      <c r="D212" s="282" t="s">
        <v>1329</v>
      </c>
      <c r="E212" s="283">
        <f t="shared" si="3"/>
        <v>44</v>
      </c>
      <c r="F212" s="285" t="s">
        <v>1111</v>
      </c>
      <c r="G212" s="459" t="s">
        <v>737</v>
      </c>
      <c r="H212" s="459" t="s">
        <v>1675</v>
      </c>
      <c r="I212" s="286" t="s">
        <v>539</v>
      </c>
    </row>
    <row r="213" spans="3:9">
      <c r="C213" s="283">
        <v>207</v>
      </c>
      <c r="D213" s="282" t="s">
        <v>1330</v>
      </c>
      <c r="E213" s="283">
        <f t="shared" si="3"/>
        <v>44</v>
      </c>
      <c r="F213" s="285" t="s">
        <v>1112</v>
      </c>
      <c r="G213" s="459" t="s">
        <v>738</v>
      </c>
      <c r="H213" s="459" t="s">
        <v>1676</v>
      </c>
      <c r="I213" s="286" t="s">
        <v>539</v>
      </c>
    </row>
    <row r="214" spans="3:9">
      <c r="C214" s="283">
        <v>208</v>
      </c>
      <c r="D214" s="282" t="s">
        <v>1331</v>
      </c>
      <c r="E214" s="283">
        <f t="shared" si="3"/>
        <v>44</v>
      </c>
      <c r="F214" s="285" t="s">
        <v>1113</v>
      </c>
      <c r="G214" s="459" t="s">
        <v>739</v>
      </c>
      <c r="H214" s="459" t="s">
        <v>1677</v>
      </c>
      <c r="I214" s="286" t="s">
        <v>539</v>
      </c>
    </row>
    <row r="215" spans="3:9">
      <c r="C215" s="283">
        <v>209</v>
      </c>
      <c r="D215" s="282" t="s">
        <v>1332</v>
      </c>
      <c r="E215" s="283">
        <f t="shared" si="3"/>
        <v>44</v>
      </c>
      <c r="F215" s="285" t="s">
        <v>1114</v>
      </c>
      <c r="G215" s="459" t="s">
        <v>290</v>
      </c>
      <c r="H215" s="459" t="s">
        <v>1678</v>
      </c>
      <c r="I215" s="286" t="s">
        <v>539</v>
      </c>
    </row>
    <row r="216" spans="3:9">
      <c r="C216" s="283">
        <v>210</v>
      </c>
      <c r="D216" s="282" t="s">
        <v>1333</v>
      </c>
      <c r="E216" s="283">
        <f t="shared" si="3"/>
        <v>44</v>
      </c>
      <c r="F216" s="285" t="s">
        <v>1115</v>
      </c>
      <c r="G216" s="459" t="s">
        <v>740</v>
      </c>
      <c r="H216" s="459" t="s">
        <v>1679</v>
      </c>
      <c r="I216" s="286" t="s">
        <v>539</v>
      </c>
    </row>
    <row r="217" spans="3:9">
      <c r="C217" s="283">
        <v>211</v>
      </c>
      <c r="D217" s="282" t="s">
        <v>1334</v>
      </c>
      <c r="E217" s="283">
        <f t="shared" si="3"/>
        <v>44</v>
      </c>
      <c r="F217" s="285" t="s">
        <v>1116</v>
      </c>
      <c r="G217" s="459" t="s">
        <v>741</v>
      </c>
      <c r="H217" s="459" t="s">
        <v>1571</v>
      </c>
      <c r="I217" s="286" t="s">
        <v>539</v>
      </c>
    </row>
    <row r="218" spans="3:9">
      <c r="C218" s="283">
        <v>212</v>
      </c>
      <c r="D218" s="282" t="s">
        <v>1335</v>
      </c>
      <c r="E218" s="283">
        <f t="shared" si="3"/>
        <v>44</v>
      </c>
      <c r="F218" s="285" t="s">
        <v>1117</v>
      </c>
      <c r="G218" s="459" t="s">
        <v>742</v>
      </c>
      <c r="H218" s="459" t="s">
        <v>1680</v>
      </c>
      <c r="I218" s="286" t="s">
        <v>539</v>
      </c>
    </row>
    <row r="219" spans="3:9">
      <c r="C219" s="283">
        <v>213</v>
      </c>
      <c r="D219" s="282" t="s">
        <v>1336</v>
      </c>
      <c r="E219" s="283">
        <f t="shared" si="3"/>
        <v>44</v>
      </c>
      <c r="F219" s="285" t="s">
        <v>5</v>
      </c>
      <c r="G219" s="459" t="s">
        <v>527</v>
      </c>
      <c r="H219" s="459" t="s">
        <v>1681</v>
      </c>
      <c r="I219" s="286" t="s">
        <v>539</v>
      </c>
    </row>
    <row r="220" spans="3:9">
      <c r="C220" s="283">
        <v>214</v>
      </c>
      <c r="D220" s="282" t="s">
        <v>1337</v>
      </c>
      <c r="E220" s="283">
        <f t="shared" si="3"/>
        <v>44</v>
      </c>
      <c r="F220" s="285" t="s">
        <v>1118</v>
      </c>
      <c r="G220" s="459" t="s">
        <v>743</v>
      </c>
      <c r="H220" s="459" t="s">
        <v>1682</v>
      </c>
      <c r="I220" s="286" t="s">
        <v>539</v>
      </c>
    </row>
    <row r="221" spans="3:9">
      <c r="C221" s="283">
        <v>215</v>
      </c>
      <c r="D221" s="282" t="s">
        <v>1338</v>
      </c>
      <c r="E221" s="283">
        <f t="shared" si="3"/>
        <v>44</v>
      </c>
      <c r="F221" s="285" t="s">
        <v>1119</v>
      </c>
      <c r="G221" s="459" t="s">
        <v>744</v>
      </c>
      <c r="H221" s="459" t="s">
        <v>1683</v>
      </c>
      <c r="I221" s="286" t="s">
        <v>539</v>
      </c>
    </row>
    <row r="222" spans="3:9">
      <c r="C222" s="283">
        <v>216</v>
      </c>
      <c r="D222" s="282" t="s">
        <v>1339</v>
      </c>
      <c r="E222" s="283">
        <f t="shared" si="3"/>
        <v>44</v>
      </c>
      <c r="F222" s="285" t="s">
        <v>1120</v>
      </c>
      <c r="G222" s="459" t="s">
        <v>745</v>
      </c>
      <c r="H222" s="459" t="s">
        <v>1684</v>
      </c>
      <c r="I222" s="286" t="s">
        <v>539</v>
      </c>
    </row>
    <row r="223" spans="3:9" ht="30">
      <c r="C223" s="283">
        <v>217</v>
      </c>
      <c r="D223" s="282" t="s">
        <v>1340</v>
      </c>
      <c r="E223" s="283">
        <f t="shared" si="3"/>
        <v>44</v>
      </c>
      <c r="F223" s="285" t="s">
        <v>1121</v>
      </c>
      <c r="G223" s="459" t="s">
        <v>746</v>
      </c>
      <c r="H223" s="459" t="s">
        <v>1629</v>
      </c>
      <c r="I223" s="286" t="s">
        <v>539</v>
      </c>
    </row>
    <row r="224" spans="3:9">
      <c r="C224" s="283">
        <v>218</v>
      </c>
      <c r="D224" s="282" t="s">
        <v>1341</v>
      </c>
      <c r="E224" s="283">
        <f t="shared" si="3"/>
        <v>44</v>
      </c>
      <c r="F224" s="285" t="s">
        <v>1122</v>
      </c>
      <c r="G224" s="459" t="s">
        <v>529</v>
      </c>
      <c r="H224" s="459" t="s">
        <v>1685</v>
      </c>
      <c r="I224" s="286" t="s">
        <v>539</v>
      </c>
    </row>
    <row r="225" spans="3:9">
      <c r="C225" s="283">
        <v>219</v>
      </c>
      <c r="D225" s="282" t="s">
        <v>1342</v>
      </c>
      <c r="E225" s="283">
        <f t="shared" si="3"/>
        <v>44</v>
      </c>
      <c r="F225" s="285" t="s">
        <v>1069</v>
      </c>
      <c r="G225" s="459" t="s">
        <v>694</v>
      </c>
      <c r="H225" s="459" t="s">
        <v>1686</v>
      </c>
      <c r="I225" s="286" t="s">
        <v>539</v>
      </c>
    </row>
    <row r="226" spans="3:9">
      <c r="C226" s="283">
        <v>220</v>
      </c>
      <c r="D226" s="282" t="s">
        <v>1343</v>
      </c>
      <c r="E226" s="283">
        <f t="shared" si="3"/>
        <v>44</v>
      </c>
      <c r="F226" s="285" t="s">
        <v>1123</v>
      </c>
      <c r="G226" s="459" t="s">
        <v>747</v>
      </c>
      <c r="H226" s="459" t="s">
        <v>1687</v>
      </c>
      <c r="I226" s="286" t="s">
        <v>539</v>
      </c>
    </row>
    <row r="227" spans="3:9">
      <c r="C227" s="283">
        <v>221</v>
      </c>
      <c r="D227" s="282" t="s">
        <v>1344</v>
      </c>
      <c r="E227" s="283">
        <f t="shared" si="3"/>
        <v>44</v>
      </c>
      <c r="F227" s="285" t="s">
        <v>1124</v>
      </c>
      <c r="G227" s="459" t="s">
        <v>748</v>
      </c>
      <c r="H227" s="459" t="s">
        <v>1688</v>
      </c>
      <c r="I227" s="286" t="s">
        <v>539</v>
      </c>
    </row>
    <row r="228" spans="3:9">
      <c r="C228" s="283">
        <v>222</v>
      </c>
      <c r="D228" s="282" t="s">
        <v>1345</v>
      </c>
      <c r="E228" s="283">
        <f t="shared" si="3"/>
        <v>44</v>
      </c>
      <c r="F228" s="285" t="s">
        <v>1125</v>
      </c>
      <c r="G228" s="459" t="s">
        <v>749</v>
      </c>
      <c r="H228" s="459" t="s">
        <v>1689</v>
      </c>
      <c r="I228" s="286" t="s">
        <v>539</v>
      </c>
    </row>
    <row r="229" spans="3:9">
      <c r="C229" s="283">
        <v>223</v>
      </c>
      <c r="D229" s="282" t="s">
        <v>1346</v>
      </c>
      <c r="E229" s="283">
        <f t="shared" si="3"/>
        <v>44</v>
      </c>
      <c r="F229" s="285" t="s">
        <v>1126</v>
      </c>
      <c r="G229" s="459" t="s">
        <v>750</v>
      </c>
      <c r="H229" s="459" t="s">
        <v>1690</v>
      </c>
      <c r="I229" s="286" t="s">
        <v>539</v>
      </c>
    </row>
    <row r="230" spans="3:9">
      <c r="C230" s="283">
        <v>224</v>
      </c>
      <c r="D230" s="282" t="s">
        <v>1347</v>
      </c>
      <c r="E230" s="283">
        <f t="shared" si="3"/>
        <v>44</v>
      </c>
      <c r="F230" s="285" t="s">
        <v>1127</v>
      </c>
      <c r="G230" s="459" t="s">
        <v>751</v>
      </c>
      <c r="H230" s="459" t="s">
        <v>1691</v>
      </c>
      <c r="I230" s="286" t="s">
        <v>539</v>
      </c>
    </row>
    <row r="231" spans="3:9">
      <c r="C231" s="283">
        <v>225</v>
      </c>
      <c r="D231" s="282" t="s">
        <v>1348</v>
      </c>
      <c r="E231" s="283">
        <f t="shared" si="3"/>
        <v>44</v>
      </c>
      <c r="F231" s="285" t="s">
        <v>1128</v>
      </c>
      <c r="G231" s="459" t="s">
        <v>752</v>
      </c>
      <c r="H231" s="459" t="s">
        <v>1692</v>
      </c>
      <c r="I231" s="286" t="s">
        <v>539</v>
      </c>
    </row>
    <row r="232" spans="3:9">
      <c r="C232" s="283">
        <v>226</v>
      </c>
      <c r="D232" s="282" t="s">
        <v>1349</v>
      </c>
      <c r="E232" s="283">
        <f t="shared" si="3"/>
        <v>44</v>
      </c>
      <c r="F232" s="285" t="s">
        <v>1129</v>
      </c>
      <c r="G232" s="459" t="s">
        <v>753</v>
      </c>
      <c r="H232" s="459" t="s">
        <v>1693</v>
      </c>
      <c r="I232" s="286" t="s">
        <v>539</v>
      </c>
    </row>
    <row r="233" spans="3:9">
      <c r="C233" s="283">
        <v>227</v>
      </c>
      <c r="D233" s="282" t="s">
        <v>1350</v>
      </c>
      <c r="E233" s="283">
        <f t="shared" si="3"/>
        <v>44</v>
      </c>
      <c r="F233" s="285" t="s">
        <v>1130</v>
      </c>
      <c r="G233" s="459" t="s">
        <v>754</v>
      </c>
      <c r="H233" s="459" t="s">
        <v>1694</v>
      </c>
      <c r="I233" s="286" t="s">
        <v>539</v>
      </c>
    </row>
    <row r="234" spans="3:9">
      <c r="C234" s="283">
        <v>228</v>
      </c>
      <c r="D234" s="282" t="s">
        <v>1351</v>
      </c>
      <c r="E234" s="283">
        <f t="shared" si="3"/>
        <v>44</v>
      </c>
      <c r="F234" s="285" t="s">
        <v>1131</v>
      </c>
      <c r="G234" s="459" t="s">
        <v>755</v>
      </c>
      <c r="H234" s="459" t="s">
        <v>1676</v>
      </c>
      <c r="I234" s="286" t="s">
        <v>539</v>
      </c>
    </row>
    <row r="235" spans="3:9">
      <c r="C235" s="283">
        <v>229</v>
      </c>
      <c r="D235" s="282" t="s">
        <v>1352</v>
      </c>
      <c r="E235" s="283">
        <f t="shared" si="3"/>
        <v>44</v>
      </c>
      <c r="F235" s="285" t="s">
        <v>1132</v>
      </c>
      <c r="G235" s="459" t="s">
        <v>756</v>
      </c>
      <c r="H235" s="459" t="s">
        <v>1695</v>
      </c>
      <c r="I235" s="286" t="s">
        <v>539</v>
      </c>
    </row>
    <row r="236" spans="3:9">
      <c r="C236" s="283">
        <v>230</v>
      </c>
      <c r="D236" s="282" t="s">
        <v>1353</v>
      </c>
      <c r="E236" s="283">
        <f t="shared" si="3"/>
        <v>44</v>
      </c>
      <c r="F236" s="285" t="s">
        <v>1114</v>
      </c>
      <c r="G236" s="459" t="s">
        <v>290</v>
      </c>
      <c r="H236" s="459" t="s">
        <v>1696</v>
      </c>
      <c r="I236" s="286" t="s">
        <v>539</v>
      </c>
    </row>
    <row r="237" spans="3:9">
      <c r="C237" s="283">
        <v>231</v>
      </c>
      <c r="D237" s="282" t="s">
        <v>1354</v>
      </c>
      <c r="E237" s="283">
        <f t="shared" si="3"/>
        <v>44</v>
      </c>
      <c r="F237" s="285" t="s">
        <v>1133</v>
      </c>
      <c r="G237" s="459" t="s">
        <v>757</v>
      </c>
      <c r="H237" s="459" t="s">
        <v>1697</v>
      </c>
      <c r="I237" s="286" t="s">
        <v>539</v>
      </c>
    </row>
    <row r="238" spans="3:9">
      <c r="C238" s="283">
        <v>232</v>
      </c>
      <c r="D238" s="282" t="s">
        <v>1355</v>
      </c>
      <c r="E238" s="283">
        <f t="shared" si="3"/>
        <v>44</v>
      </c>
      <c r="F238" s="285" t="s">
        <v>1134</v>
      </c>
      <c r="G238" s="459" t="s">
        <v>758</v>
      </c>
      <c r="H238" s="459"/>
      <c r="I238" s="286" t="s">
        <v>539</v>
      </c>
    </row>
    <row r="239" spans="3:9">
      <c r="C239" s="283">
        <v>233</v>
      </c>
      <c r="D239" s="282" t="s">
        <v>1356</v>
      </c>
      <c r="E239" s="283">
        <f t="shared" si="3"/>
        <v>44</v>
      </c>
      <c r="F239" s="285" t="s">
        <v>1135</v>
      </c>
      <c r="G239" s="459" t="s">
        <v>759</v>
      </c>
      <c r="H239" s="459"/>
      <c r="I239" s="286" t="s">
        <v>539</v>
      </c>
    </row>
    <row r="240" spans="3:9">
      <c r="C240" s="283">
        <v>234</v>
      </c>
      <c r="D240" s="282" t="s">
        <v>1357</v>
      </c>
      <c r="E240" s="283">
        <f t="shared" si="3"/>
        <v>44</v>
      </c>
      <c r="F240" s="285" t="s">
        <v>1136</v>
      </c>
      <c r="G240" s="459" t="s">
        <v>300</v>
      </c>
      <c r="H240" s="459"/>
      <c r="I240" s="286" t="s">
        <v>539</v>
      </c>
    </row>
    <row r="241" spans="3:9">
      <c r="C241" s="283">
        <v>235</v>
      </c>
      <c r="D241" s="282" t="s">
        <v>1358</v>
      </c>
      <c r="E241" s="283">
        <f t="shared" si="3"/>
        <v>44</v>
      </c>
      <c r="F241" s="285" t="s">
        <v>850</v>
      </c>
      <c r="G241" s="459" t="s">
        <v>760</v>
      </c>
      <c r="H241" s="459"/>
      <c r="I241" s="286" t="s">
        <v>539</v>
      </c>
    </row>
    <row r="242" spans="3:9">
      <c r="C242" s="283">
        <v>236</v>
      </c>
      <c r="D242" s="282" t="s">
        <v>1359</v>
      </c>
      <c r="E242" s="283">
        <f t="shared" si="3"/>
        <v>44</v>
      </c>
      <c r="F242" s="285" t="s">
        <v>1137</v>
      </c>
      <c r="G242" s="459" t="s">
        <v>761</v>
      </c>
      <c r="H242" s="459"/>
      <c r="I242" s="286" t="s">
        <v>539</v>
      </c>
    </row>
    <row r="243" spans="3:9">
      <c r="C243" s="283">
        <v>237</v>
      </c>
      <c r="D243" s="282" t="s">
        <v>1360</v>
      </c>
      <c r="E243" s="283">
        <f t="shared" si="3"/>
        <v>44</v>
      </c>
      <c r="F243" s="285" t="s">
        <v>1138</v>
      </c>
      <c r="G243" s="459" t="s">
        <v>762</v>
      </c>
      <c r="H243" s="459"/>
      <c r="I243" s="286" t="s">
        <v>539</v>
      </c>
    </row>
    <row r="244" spans="3:9">
      <c r="C244" s="283">
        <v>238</v>
      </c>
      <c r="D244" s="282" t="s">
        <v>1361</v>
      </c>
      <c r="E244" s="283">
        <f t="shared" si="3"/>
        <v>44</v>
      </c>
      <c r="F244" s="285" t="s">
        <v>1139</v>
      </c>
      <c r="G244" s="459" t="s">
        <v>763</v>
      </c>
      <c r="H244" s="459"/>
      <c r="I244" s="286" t="s">
        <v>539</v>
      </c>
    </row>
    <row r="245" spans="3:9">
      <c r="C245" s="283">
        <v>239</v>
      </c>
      <c r="D245" s="282" t="s">
        <v>1362</v>
      </c>
      <c r="E245" s="283">
        <f t="shared" si="3"/>
        <v>44</v>
      </c>
      <c r="F245" s="285" t="s">
        <v>1140</v>
      </c>
      <c r="G245" s="459" t="s">
        <v>764</v>
      </c>
      <c r="H245" s="459"/>
      <c r="I245" s="286" t="s">
        <v>539</v>
      </c>
    </row>
    <row r="246" spans="3:9">
      <c r="C246" s="283">
        <v>240</v>
      </c>
      <c r="D246" s="282" t="s">
        <v>1363</v>
      </c>
      <c r="E246" s="283">
        <f t="shared" si="3"/>
        <v>44</v>
      </c>
      <c r="F246" s="285" t="s">
        <v>1141</v>
      </c>
      <c r="G246" s="459" t="s">
        <v>765</v>
      </c>
      <c r="H246" s="459"/>
      <c r="I246" s="286" t="s">
        <v>539</v>
      </c>
    </row>
    <row r="247" spans="3:9">
      <c r="C247" s="283">
        <v>241</v>
      </c>
      <c r="D247" s="282" t="s">
        <v>1364</v>
      </c>
      <c r="E247" s="283">
        <f t="shared" si="3"/>
        <v>44</v>
      </c>
      <c r="F247" s="285" t="s">
        <v>1142</v>
      </c>
      <c r="G247" s="459" t="s">
        <v>291</v>
      </c>
      <c r="H247" s="459"/>
      <c r="I247" s="286" t="s">
        <v>539</v>
      </c>
    </row>
    <row r="248" spans="3:9">
      <c r="C248" s="283">
        <v>242</v>
      </c>
      <c r="D248" s="282" t="s">
        <v>1365</v>
      </c>
      <c r="E248" s="283">
        <f t="shared" si="3"/>
        <v>44</v>
      </c>
      <c r="F248" s="285" t="s">
        <v>1143</v>
      </c>
      <c r="G248" s="459" t="s">
        <v>766</v>
      </c>
      <c r="H248" s="459"/>
      <c r="I248" s="286" t="s">
        <v>539</v>
      </c>
    </row>
    <row r="249" spans="3:9">
      <c r="C249" s="283">
        <v>243</v>
      </c>
      <c r="D249" s="282" t="s">
        <v>1366</v>
      </c>
      <c r="E249" s="283">
        <f t="shared" si="3"/>
        <v>44</v>
      </c>
      <c r="F249" s="285" t="s">
        <v>1144</v>
      </c>
      <c r="G249" s="459" t="s">
        <v>767</v>
      </c>
      <c r="H249" s="459"/>
      <c r="I249" s="286" t="s">
        <v>539</v>
      </c>
    </row>
    <row r="250" spans="3:9">
      <c r="C250" s="283">
        <v>244</v>
      </c>
      <c r="D250" s="282" t="s">
        <v>1367</v>
      </c>
      <c r="E250" s="283">
        <f t="shared" si="3"/>
        <v>44</v>
      </c>
      <c r="F250" s="285" t="s">
        <v>850</v>
      </c>
      <c r="G250" s="459" t="s">
        <v>768</v>
      </c>
      <c r="H250" s="459"/>
      <c r="I250" s="286" t="s">
        <v>539</v>
      </c>
    </row>
    <row r="251" spans="3:9">
      <c r="C251" s="283">
        <v>245</v>
      </c>
      <c r="D251" s="282" t="s">
        <v>1368</v>
      </c>
      <c r="E251" s="283">
        <f t="shared" si="3"/>
        <v>44</v>
      </c>
      <c r="F251" s="285" t="s">
        <v>1145</v>
      </c>
      <c r="G251" s="459" t="s">
        <v>769</v>
      </c>
      <c r="H251" s="459"/>
      <c r="I251" s="286" t="s">
        <v>539</v>
      </c>
    </row>
    <row r="252" spans="3:9">
      <c r="C252" s="283">
        <v>246</v>
      </c>
      <c r="D252" s="282" t="s">
        <v>1369</v>
      </c>
      <c r="E252" s="283">
        <f t="shared" si="3"/>
        <v>44</v>
      </c>
      <c r="F252" s="285" t="s">
        <v>1146</v>
      </c>
      <c r="G252" s="459" t="s">
        <v>770</v>
      </c>
      <c r="H252" s="459"/>
      <c r="I252" s="286" t="s">
        <v>539</v>
      </c>
    </row>
    <row r="253" spans="3:9">
      <c r="C253" s="283">
        <v>247</v>
      </c>
      <c r="D253" s="282" t="s">
        <v>1370</v>
      </c>
      <c r="E253" s="283">
        <f t="shared" si="3"/>
        <v>44</v>
      </c>
      <c r="F253" s="285" t="s">
        <v>1147</v>
      </c>
      <c r="G253" s="459" t="s">
        <v>771</v>
      </c>
      <c r="H253" s="459"/>
      <c r="I253" s="286" t="s">
        <v>539</v>
      </c>
    </row>
    <row r="254" spans="3:9">
      <c r="C254" s="283">
        <v>248</v>
      </c>
      <c r="D254" s="282" t="s">
        <v>1371</v>
      </c>
      <c r="E254" s="283">
        <f t="shared" si="3"/>
        <v>44</v>
      </c>
      <c r="F254" s="285" t="s">
        <v>1148</v>
      </c>
      <c r="G254" s="459" t="s">
        <v>772</v>
      </c>
      <c r="H254" s="459"/>
      <c r="I254" s="286" t="s">
        <v>539</v>
      </c>
    </row>
    <row r="255" spans="3:9" ht="30">
      <c r="C255" s="283">
        <v>249</v>
      </c>
      <c r="D255" s="282" t="s">
        <v>1372</v>
      </c>
      <c r="E255" s="283">
        <f t="shared" si="3"/>
        <v>44</v>
      </c>
      <c r="F255" s="285" t="s">
        <v>1149</v>
      </c>
      <c r="G255" s="459" t="s">
        <v>773</v>
      </c>
      <c r="H255" s="459"/>
      <c r="I255" s="286" t="s">
        <v>539</v>
      </c>
    </row>
    <row r="256" spans="3:9" ht="30">
      <c r="C256" s="283">
        <v>250</v>
      </c>
      <c r="D256" s="282" t="s">
        <v>1373</v>
      </c>
      <c r="E256" s="283">
        <f t="shared" si="3"/>
        <v>44</v>
      </c>
      <c r="F256" s="285" t="s">
        <v>1150</v>
      </c>
      <c r="G256" s="459" t="s">
        <v>774</v>
      </c>
      <c r="H256" s="459"/>
      <c r="I256" s="286" t="s">
        <v>539</v>
      </c>
    </row>
    <row r="257" spans="3:9" ht="30">
      <c r="C257" s="283">
        <v>251</v>
      </c>
      <c r="D257" s="282" t="s">
        <v>1374</v>
      </c>
      <c r="E257" s="283">
        <f t="shared" si="3"/>
        <v>44</v>
      </c>
      <c r="F257" s="285" t="s">
        <v>1151</v>
      </c>
      <c r="G257" s="459" t="s">
        <v>775</v>
      </c>
      <c r="H257" s="459"/>
      <c r="I257" s="286" t="s">
        <v>539</v>
      </c>
    </row>
    <row r="258" spans="3:9">
      <c r="C258" s="283">
        <v>252</v>
      </c>
      <c r="D258" s="282" t="s">
        <v>1375</v>
      </c>
      <c r="E258" s="283">
        <f t="shared" si="3"/>
        <v>44</v>
      </c>
      <c r="F258" s="285" t="s">
        <v>888</v>
      </c>
      <c r="G258" s="459" t="s">
        <v>721</v>
      </c>
      <c r="H258" s="459"/>
      <c r="I258" s="286" t="s">
        <v>539</v>
      </c>
    </row>
    <row r="259" spans="3:9">
      <c r="C259" s="283">
        <v>253</v>
      </c>
      <c r="D259" s="282" t="s">
        <v>1376</v>
      </c>
      <c r="E259" s="283">
        <f t="shared" si="3"/>
        <v>44</v>
      </c>
      <c r="F259" s="285" t="s">
        <v>1152</v>
      </c>
      <c r="G259" s="459" t="s">
        <v>776</v>
      </c>
      <c r="H259" s="459"/>
      <c r="I259" s="286" t="s">
        <v>539</v>
      </c>
    </row>
    <row r="260" spans="3:9">
      <c r="C260" s="283">
        <v>254</v>
      </c>
      <c r="D260" s="282" t="s">
        <v>1377</v>
      </c>
      <c r="E260" s="283">
        <f t="shared" si="3"/>
        <v>44</v>
      </c>
      <c r="F260" s="285" t="s">
        <v>1153</v>
      </c>
      <c r="G260" s="459" t="s">
        <v>777</v>
      </c>
      <c r="H260" s="459"/>
      <c r="I260" s="286" t="s">
        <v>539</v>
      </c>
    </row>
    <row r="261" spans="3:9">
      <c r="C261" s="283">
        <v>255</v>
      </c>
      <c r="D261" s="282" t="s">
        <v>1378</v>
      </c>
      <c r="E261" s="283">
        <f t="shared" si="3"/>
        <v>44</v>
      </c>
      <c r="F261" s="285" t="s">
        <v>1154</v>
      </c>
      <c r="G261" s="459" t="s">
        <v>778</v>
      </c>
      <c r="H261" s="459"/>
      <c r="I261" s="286" t="s">
        <v>539</v>
      </c>
    </row>
    <row r="262" spans="3:9">
      <c r="C262" s="283">
        <v>256</v>
      </c>
      <c r="D262" s="282" t="s">
        <v>1379</v>
      </c>
      <c r="E262" s="283">
        <f t="shared" si="3"/>
        <v>44</v>
      </c>
      <c r="F262" s="285" t="s">
        <v>60</v>
      </c>
      <c r="G262" s="459" t="s">
        <v>779</v>
      </c>
      <c r="H262" s="459"/>
      <c r="I262" s="286" t="s">
        <v>539</v>
      </c>
    </row>
    <row r="263" spans="3:9">
      <c r="C263" s="283">
        <v>257</v>
      </c>
      <c r="D263" s="282" t="s">
        <v>1380</v>
      </c>
      <c r="E263" s="283">
        <f t="shared" si="3"/>
        <v>44</v>
      </c>
      <c r="F263" s="285" t="s">
        <v>1083</v>
      </c>
      <c r="G263" s="459" t="s">
        <v>707</v>
      </c>
      <c r="H263" s="459"/>
      <c r="I263" s="286" t="s">
        <v>539</v>
      </c>
    </row>
    <row r="264" spans="3:9">
      <c r="C264" s="283">
        <v>258</v>
      </c>
      <c r="D264" s="282" t="s">
        <v>1381</v>
      </c>
      <c r="E264" s="283">
        <f t="shared" ref="E264:E327" si="4">MID(I264,1,3)*1</f>
        <v>44</v>
      </c>
      <c r="F264" s="285" t="s">
        <v>1155</v>
      </c>
      <c r="G264" s="459" t="s">
        <v>780</v>
      </c>
      <c r="H264" s="459"/>
      <c r="I264" s="286" t="s">
        <v>539</v>
      </c>
    </row>
    <row r="265" spans="3:9">
      <c r="C265" s="283">
        <v>259</v>
      </c>
      <c r="D265" s="282" t="s">
        <v>1382</v>
      </c>
      <c r="E265" s="283">
        <f t="shared" si="4"/>
        <v>44</v>
      </c>
      <c r="F265" s="285" t="s">
        <v>1156</v>
      </c>
      <c r="G265" s="459" t="s">
        <v>781</v>
      </c>
      <c r="H265" s="459"/>
      <c r="I265" s="286" t="s">
        <v>539</v>
      </c>
    </row>
    <row r="266" spans="3:9">
      <c r="C266" s="283">
        <v>260</v>
      </c>
      <c r="D266" s="282" t="s">
        <v>1383</v>
      </c>
      <c r="E266" s="283">
        <f t="shared" si="4"/>
        <v>44</v>
      </c>
      <c r="F266" s="285" t="s">
        <v>1157</v>
      </c>
      <c r="G266" s="459" t="s">
        <v>782</v>
      </c>
      <c r="H266" s="459"/>
      <c r="I266" s="286" t="s">
        <v>539</v>
      </c>
    </row>
    <row r="267" spans="3:9">
      <c r="C267" s="283">
        <v>261</v>
      </c>
      <c r="D267" s="282" t="s">
        <v>1384</v>
      </c>
      <c r="E267" s="283">
        <f t="shared" si="4"/>
        <v>44</v>
      </c>
      <c r="F267" s="285" t="s">
        <v>1158</v>
      </c>
      <c r="G267" s="459" t="s">
        <v>783</v>
      </c>
      <c r="H267" s="459"/>
      <c r="I267" s="286" t="s">
        <v>539</v>
      </c>
    </row>
    <row r="268" spans="3:9">
      <c r="C268" s="283">
        <v>262</v>
      </c>
      <c r="D268" s="282" t="s">
        <v>1385</v>
      </c>
      <c r="E268" s="283">
        <f t="shared" si="4"/>
        <v>44</v>
      </c>
      <c r="F268" s="285" t="s">
        <v>1159</v>
      </c>
      <c r="G268" s="459" t="s">
        <v>784</v>
      </c>
      <c r="H268" s="459"/>
      <c r="I268" s="286" t="s">
        <v>539</v>
      </c>
    </row>
    <row r="269" spans="3:9">
      <c r="C269" s="283">
        <v>263</v>
      </c>
      <c r="D269" s="282" t="s">
        <v>1386</v>
      </c>
      <c r="E269" s="283">
        <f t="shared" si="4"/>
        <v>44</v>
      </c>
      <c r="F269" s="285" t="s">
        <v>1160</v>
      </c>
      <c r="G269" s="459" t="s">
        <v>785</v>
      </c>
      <c r="H269" s="459"/>
      <c r="I269" s="286" t="s">
        <v>539</v>
      </c>
    </row>
    <row r="270" spans="3:9">
      <c r="C270" s="283">
        <v>264</v>
      </c>
      <c r="D270" s="282" t="s">
        <v>1387</v>
      </c>
      <c r="E270" s="283">
        <f t="shared" si="4"/>
        <v>44</v>
      </c>
      <c r="F270" s="285" t="s">
        <v>1161</v>
      </c>
      <c r="G270" s="459" t="s">
        <v>786</v>
      </c>
      <c r="H270" s="459"/>
      <c r="I270" s="286" t="s">
        <v>539</v>
      </c>
    </row>
    <row r="271" spans="3:9" ht="30">
      <c r="C271" s="283">
        <v>265</v>
      </c>
      <c r="D271" s="282" t="s">
        <v>1388</v>
      </c>
      <c r="E271" s="283">
        <f t="shared" si="4"/>
        <v>44</v>
      </c>
      <c r="F271" s="285" t="s">
        <v>1162</v>
      </c>
      <c r="G271" s="459" t="s">
        <v>787</v>
      </c>
      <c r="H271" s="459"/>
      <c r="I271" s="286" t="s">
        <v>539</v>
      </c>
    </row>
    <row r="272" spans="3:9" ht="30">
      <c r="C272" s="283">
        <v>266</v>
      </c>
      <c r="D272" s="282" t="s">
        <v>1389</v>
      </c>
      <c r="E272" s="283">
        <f t="shared" si="4"/>
        <v>44</v>
      </c>
      <c r="F272" s="285" t="s">
        <v>1163</v>
      </c>
      <c r="G272" s="459" t="s">
        <v>788</v>
      </c>
      <c r="H272" s="459"/>
      <c r="I272" s="286" t="s">
        <v>539</v>
      </c>
    </row>
    <row r="273" spans="3:9">
      <c r="C273" s="283">
        <v>267</v>
      </c>
      <c r="D273" s="282" t="s">
        <v>1390</v>
      </c>
      <c r="E273" s="283">
        <f t="shared" si="4"/>
        <v>44</v>
      </c>
      <c r="F273" s="285" t="s">
        <v>208</v>
      </c>
      <c r="G273" s="459" t="s">
        <v>12</v>
      </c>
      <c r="H273" s="459"/>
      <c r="I273" s="286" t="s">
        <v>539</v>
      </c>
    </row>
    <row r="274" spans="3:9">
      <c r="C274" s="283">
        <v>268</v>
      </c>
      <c r="D274" s="282" t="s">
        <v>1391</v>
      </c>
      <c r="E274" s="283">
        <f t="shared" si="4"/>
        <v>44</v>
      </c>
      <c r="F274" s="285" t="s">
        <v>307</v>
      </c>
      <c r="G274" s="459" t="s">
        <v>308</v>
      </c>
      <c r="H274" s="459"/>
      <c r="I274" s="286" t="s">
        <v>539</v>
      </c>
    </row>
    <row r="275" spans="3:9">
      <c r="C275" s="283">
        <v>269</v>
      </c>
      <c r="D275" s="282" t="s">
        <v>1392</v>
      </c>
      <c r="E275" s="283">
        <f t="shared" si="4"/>
        <v>44</v>
      </c>
      <c r="F275" s="285" t="s">
        <v>1164</v>
      </c>
      <c r="G275" s="459" t="s">
        <v>789</v>
      </c>
      <c r="H275" s="459"/>
      <c r="I275" s="286" t="s">
        <v>539</v>
      </c>
    </row>
    <row r="276" spans="3:9">
      <c r="C276" s="283">
        <v>270</v>
      </c>
      <c r="D276" s="282" t="s">
        <v>1393</v>
      </c>
      <c r="E276" s="283">
        <f t="shared" si="4"/>
        <v>44</v>
      </c>
      <c r="F276" s="285" t="s">
        <v>1096</v>
      </c>
      <c r="G276" s="459" t="s">
        <v>722</v>
      </c>
      <c r="H276" s="459"/>
      <c r="I276" s="286" t="s">
        <v>539</v>
      </c>
    </row>
    <row r="277" spans="3:9">
      <c r="C277" s="283">
        <v>271</v>
      </c>
      <c r="D277" s="282" t="s">
        <v>1394</v>
      </c>
      <c r="E277" s="283">
        <f t="shared" si="4"/>
        <v>44</v>
      </c>
      <c r="F277" s="285" t="s">
        <v>1165</v>
      </c>
      <c r="G277" s="459" t="s">
        <v>790</v>
      </c>
      <c r="H277" s="459"/>
      <c r="I277" s="286" t="s">
        <v>539</v>
      </c>
    </row>
    <row r="278" spans="3:9">
      <c r="C278" s="283">
        <v>272</v>
      </c>
      <c r="D278" s="282" t="s">
        <v>1395</v>
      </c>
      <c r="E278" s="283">
        <f t="shared" si="4"/>
        <v>44</v>
      </c>
      <c r="F278" s="285" t="s">
        <v>1166</v>
      </c>
      <c r="G278" s="459" t="s">
        <v>791</v>
      </c>
      <c r="H278" s="459"/>
      <c r="I278" s="286" t="s">
        <v>539</v>
      </c>
    </row>
    <row r="279" spans="3:9">
      <c r="C279" s="283">
        <v>273</v>
      </c>
      <c r="D279" s="282" t="s">
        <v>1396</v>
      </c>
      <c r="E279" s="283">
        <f t="shared" si="4"/>
        <v>45</v>
      </c>
      <c r="F279" s="285" t="s">
        <v>1167</v>
      </c>
      <c r="G279" s="459" t="s">
        <v>792</v>
      </c>
      <c r="H279" s="459"/>
      <c r="I279" s="286" t="s">
        <v>540</v>
      </c>
    </row>
    <row r="280" spans="3:9">
      <c r="C280" s="283">
        <v>274</v>
      </c>
      <c r="D280" s="282" t="s">
        <v>1397</v>
      </c>
      <c r="E280" s="283">
        <f t="shared" si="4"/>
        <v>45</v>
      </c>
      <c r="F280" s="285" t="s">
        <v>1168</v>
      </c>
      <c r="G280" s="459" t="s">
        <v>793</v>
      </c>
      <c r="H280" s="459"/>
      <c r="I280" s="286" t="s">
        <v>540</v>
      </c>
    </row>
    <row r="281" spans="3:9">
      <c r="C281" s="283">
        <v>275</v>
      </c>
      <c r="D281" s="282" t="s">
        <v>1398</v>
      </c>
      <c r="E281" s="283">
        <f t="shared" si="4"/>
        <v>45</v>
      </c>
      <c r="F281" s="285" t="s">
        <v>1165</v>
      </c>
      <c r="G281" s="459" t="s">
        <v>790</v>
      </c>
      <c r="H281" s="459"/>
      <c r="I281" s="286" t="s">
        <v>540</v>
      </c>
    </row>
    <row r="282" spans="3:9">
      <c r="C282" s="283">
        <v>276</v>
      </c>
      <c r="D282" s="282" t="s">
        <v>1399</v>
      </c>
      <c r="E282" s="283">
        <f t="shared" si="4"/>
        <v>45</v>
      </c>
      <c r="F282" s="285" t="s">
        <v>1169</v>
      </c>
      <c r="G282" s="459" t="s">
        <v>798</v>
      </c>
      <c r="H282" s="459"/>
      <c r="I282" s="286" t="s">
        <v>540</v>
      </c>
    </row>
    <row r="283" spans="3:9">
      <c r="C283" s="283">
        <v>277</v>
      </c>
      <c r="D283" s="282" t="s">
        <v>1400</v>
      </c>
      <c r="E283" s="283">
        <f t="shared" si="4"/>
        <v>45</v>
      </c>
      <c r="F283" s="285" t="s">
        <v>1170</v>
      </c>
      <c r="G283" s="459" t="s">
        <v>797</v>
      </c>
      <c r="H283" s="459"/>
      <c r="I283" s="286" t="s">
        <v>540</v>
      </c>
    </row>
    <row r="284" spans="3:9">
      <c r="C284" s="283">
        <v>278</v>
      </c>
      <c r="D284" s="282" t="s">
        <v>1401</v>
      </c>
      <c r="E284" s="283">
        <f t="shared" si="4"/>
        <v>45</v>
      </c>
      <c r="F284" s="285" t="s">
        <v>1171</v>
      </c>
      <c r="G284" s="459" t="s">
        <v>794</v>
      </c>
      <c r="H284" s="459"/>
      <c r="I284" s="286" t="s">
        <v>540</v>
      </c>
    </row>
    <row r="285" spans="3:9">
      <c r="C285" s="283">
        <v>279</v>
      </c>
      <c r="D285" s="282" t="s">
        <v>1402</v>
      </c>
      <c r="E285" s="283">
        <f t="shared" si="4"/>
        <v>45</v>
      </c>
      <c r="F285" s="285" t="s">
        <v>1172</v>
      </c>
      <c r="G285" s="459" t="s">
        <v>799</v>
      </c>
      <c r="H285" s="459"/>
      <c r="I285" s="286" t="s">
        <v>540</v>
      </c>
    </row>
    <row r="286" spans="3:9">
      <c r="C286" s="283">
        <v>280</v>
      </c>
      <c r="D286" s="282" t="s">
        <v>1403</v>
      </c>
      <c r="E286" s="283">
        <f t="shared" si="4"/>
        <v>45</v>
      </c>
      <c r="F286" s="285" t="s">
        <v>1173</v>
      </c>
      <c r="G286" s="459" t="s">
        <v>800</v>
      </c>
      <c r="H286" s="459"/>
      <c r="I286" s="286" t="s">
        <v>540</v>
      </c>
    </row>
    <row r="287" spans="3:9">
      <c r="C287" s="283">
        <v>281</v>
      </c>
      <c r="D287" s="282" t="s">
        <v>1404</v>
      </c>
      <c r="E287" s="283">
        <f t="shared" si="4"/>
        <v>45</v>
      </c>
      <c r="F287" s="285" t="s">
        <v>884</v>
      </c>
      <c r="G287" s="459" t="s">
        <v>801</v>
      </c>
      <c r="H287" s="459"/>
      <c r="I287" s="286" t="s">
        <v>540</v>
      </c>
    </row>
    <row r="288" spans="3:9">
      <c r="C288" s="283">
        <v>282</v>
      </c>
      <c r="D288" s="282" t="s">
        <v>1405</v>
      </c>
      <c r="E288" s="283">
        <f t="shared" si="4"/>
        <v>45</v>
      </c>
      <c r="F288" s="285" t="s">
        <v>1131</v>
      </c>
      <c r="G288" s="459" t="s">
        <v>755</v>
      </c>
      <c r="H288" s="459"/>
      <c r="I288" s="286" t="s">
        <v>540</v>
      </c>
    </row>
    <row r="289" spans="3:9">
      <c r="C289" s="283">
        <v>283</v>
      </c>
      <c r="D289" s="282" t="s">
        <v>1406</v>
      </c>
      <c r="E289" s="283">
        <f t="shared" si="4"/>
        <v>45</v>
      </c>
      <c r="F289" s="285" t="s">
        <v>1174</v>
      </c>
      <c r="G289" s="459" t="s">
        <v>802</v>
      </c>
      <c r="H289" s="459"/>
      <c r="I289" s="286" t="s">
        <v>540</v>
      </c>
    </row>
    <row r="290" spans="3:9">
      <c r="C290" s="283">
        <v>284</v>
      </c>
      <c r="D290" s="282" t="s">
        <v>1407</v>
      </c>
      <c r="E290" s="283">
        <f t="shared" si="4"/>
        <v>45</v>
      </c>
      <c r="F290" s="285" t="s">
        <v>1175</v>
      </c>
      <c r="G290" s="459" t="s">
        <v>803</v>
      </c>
      <c r="H290" s="459"/>
      <c r="I290" s="286" t="s">
        <v>540</v>
      </c>
    </row>
    <row r="291" spans="3:9">
      <c r="C291" s="283">
        <v>285</v>
      </c>
      <c r="D291" s="282" t="s">
        <v>1408</v>
      </c>
      <c r="E291" s="283">
        <f t="shared" si="4"/>
        <v>45</v>
      </c>
      <c r="F291" s="285" t="s">
        <v>1000</v>
      </c>
      <c r="G291" s="459" t="s">
        <v>630</v>
      </c>
      <c r="H291" s="459"/>
      <c r="I291" s="286" t="s">
        <v>540</v>
      </c>
    </row>
    <row r="292" spans="3:9">
      <c r="C292" s="283">
        <v>286</v>
      </c>
      <c r="D292" s="282" t="s">
        <v>1409</v>
      </c>
      <c r="E292" s="283">
        <f t="shared" si="4"/>
        <v>45</v>
      </c>
      <c r="F292" s="285" t="s">
        <v>1176</v>
      </c>
      <c r="G292" s="459" t="s">
        <v>804</v>
      </c>
      <c r="H292" s="459"/>
      <c r="I292" s="286" t="s">
        <v>540</v>
      </c>
    </row>
    <row r="293" spans="3:9">
      <c r="C293" s="283">
        <v>287</v>
      </c>
      <c r="D293" s="282" t="s">
        <v>1410</v>
      </c>
      <c r="E293" s="283">
        <f t="shared" si="4"/>
        <v>45</v>
      </c>
      <c r="F293" s="285" t="s">
        <v>1177</v>
      </c>
      <c r="G293" s="459" t="s">
        <v>805</v>
      </c>
      <c r="H293" s="459"/>
      <c r="I293" s="286" t="s">
        <v>540</v>
      </c>
    </row>
    <row r="294" spans="3:9" ht="30">
      <c r="C294" s="283">
        <v>288</v>
      </c>
      <c r="D294" s="282" t="s">
        <v>1411</v>
      </c>
      <c r="E294" s="283">
        <f t="shared" si="4"/>
        <v>45</v>
      </c>
      <c r="F294" s="285" t="s">
        <v>1178</v>
      </c>
      <c r="G294" s="459" t="s">
        <v>806</v>
      </c>
      <c r="H294" s="459"/>
      <c r="I294" s="286" t="s">
        <v>540</v>
      </c>
    </row>
    <row r="295" spans="3:9">
      <c r="C295" s="283">
        <v>289</v>
      </c>
      <c r="D295" s="282" t="s">
        <v>1412</v>
      </c>
      <c r="E295" s="283">
        <f t="shared" si="4"/>
        <v>45</v>
      </c>
      <c r="F295" s="285" t="s">
        <v>1179</v>
      </c>
      <c r="G295" s="459" t="s">
        <v>807</v>
      </c>
      <c r="H295" s="459"/>
      <c r="I295" s="286" t="s">
        <v>540</v>
      </c>
    </row>
    <row r="296" spans="3:9">
      <c r="C296" s="283">
        <v>290</v>
      </c>
      <c r="D296" s="282" t="s">
        <v>1413</v>
      </c>
      <c r="E296" s="283">
        <f t="shared" si="4"/>
        <v>45</v>
      </c>
      <c r="F296" s="285" t="s">
        <v>1180</v>
      </c>
      <c r="G296" s="459" t="s">
        <v>795</v>
      </c>
      <c r="H296" s="459"/>
      <c r="I296" s="286" t="s">
        <v>540</v>
      </c>
    </row>
    <row r="297" spans="3:9">
      <c r="C297" s="283">
        <v>291</v>
      </c>
      <c r="D297" s="282" t="s">
        <v>1414</v>
      </c>
      <c r="E297" s="283">
        <f t="shared" si="4"/>
        <v>45</v>
      </c>
      <c r="F297" s="285" t="s">
        <v>1181</v>
      </c>
      <c r="G297" s="459" t="s">
        <v>808</v>
      </c>
      <c r="H297" s="459"/>
      <c r="I297" s="286" t="s">
        <v>540</v>
      </c>
    </row>
    <row r="298" spans="3:9">
      <c r="C298" s="283">
        <v>292</v>
      </c>
      <c r="D298" s="282" t="s">
        <v>1415</v>
      </c>
      <c r="E298" s="283">
        <f t="shared" si="4"/>
        <v>45</v>
      </c>
      <c r="F298" s="285" t="s">
        <v>920</v>
      </c>
      <c r="G298" s="459" t="s">
        <v>809</v>
      </c>
      <c r="H298" s="459"/>
      <c r="I298" s="286" t="s">
        <v>540</v>
      </c>
    </row>
    <row r="299" spans="3:9">
      <c r="C299" s="283">
        <v>293</v>
      </c>
      <c r="D299" s="282" t="s">
        <v>1416</v>
      </c>
      <c r="E299" s="283">
        <f t="shared" si="4"/>
        <v>45</v>
      </c>
      <c r="F299" s="285" t="s">
        <v>1182</v>
      </c>
      <c r="G299" s="459" t="s">
        <v>810</v>
      </c>
      <c r="H299" s="459"/>
      <c r="I299" s="286" t="s">
        <v>540</v>
      </c>
    </row>
    <row r="300" spans="3:9">
      <c r="C300" s="283">
        <v>294</v>
      </c>
      <c r="D300" s="282" t="s">
        <v>1417</v>
      </c>
      <c r="E300" s="283">
        <f t="shared" si="4"/>
        <v>45</v>
      </c>
      <c r="F300" s="285" t="s">
        <v>1183</v>
      </c>
      <c r="G300" s="459" t="s">
        <v>811</v>
      </c>
      <c r="H300" s="459"/>
      <c r="I300" s="286" t="s">
        <v>540</v>
      </c>
    </row>
    <row r="301" spans="3:9" ht="30">
      <c r="C301" s="283">
        <v>295</v>
      </c>
      <c r="D301" s="282" t="s">
        <v>1418</v>
      </c>
      <c r="E301" s="283">
        <f t="shared" si="4"/>
        <v>45</v>
      </c>
      <c r="F301" s="285" t="s">
        <v>1184</v>
      </c>
      <c r="G301" s="459" t="s">
        <v>812</v>
      </c>
      <c r="H301" s="459"/>
      <c r="I301" s="286" t="s">
        <v>540</v>
      </c>
    </row>
    <row r="302" spans="3:9" ht="30">
      <c r="C302" s="283">
        <v>296</v>
      </c>
      <c r="D302" s="282" t="s">
        <v>1419</v>
      </c>
      <c r="E302" s="283">
        <f t="shared" si="4"/>
        <v>45</v>
      </c>
      <c r="F302" s="285" t="s">
        <v>1185</v>
      </c>
      <c r="G302" s="459" t="s">
        <v>813</v>
      </c>
      <c r="H302" s="459"/>
      <c r="I302" s="286" t="s">
        <v>540</v>
      </c>
    </row>
    <row r="303" spans="3:9" ht="30">
      <c r="C303" s="283">
        <v>297</v>
      </c>
      <c r="D303" s="282" t="s">
        <v>1420</v>
      </c>
      <c r="E303" s="283">
        <f t="shared" si="4"/>
        <v>45</v>
      </c>
      <c r="F303" s="285" t="s">
        <v>1186</v>
      </c>
      <c r="G303" s="459" t="s">
        <v>814</v>
      </c>
      <c r="H303" s="459"/>
      <c r="I303" s="286" t="s">
        <v>540</v>
      </c>
    </row>
    <row r="304" spans="3:9">
      <c r="C304" s="283">
        <v>298</v>
      </c>
      <c r="D304" s="282" t="s">
        <v>1421</v>
      </c>
      <c r="E304" s="283">
        <f t="shared" si="4"/>
        <v>45</v>
      </c>
      <c r="F304" s="285" t="s">
        <v>1187</v>
      </c>
      <c r="G304" s="459" t="s">
        <v>557</v>
      </c>
      <c r="H304" s="459"/>
      <c r="I304" s="286" t="s">
        <v>540</v>
      </c>
    </row>
    <row r="305" spans="3:13">
      <c r="C305" s="283">
        <v>299</v>
      </c>
      <c r="D305" s="282" t="s">
        <v>1422</v>
      </c>
      <c r="E305" s="283">
        <f t="shared" si="4"/>
        <v>45</v>
      </c>
      <c r="F305" s="285" t="s">
        <v>1188</v>
      </c>
      <c r="G305" s="459" t="s">
        <v>796</v>
      </c>
      <c r="H305" s="459"/>
      <c r="I305" s="286" t="s">
        <v>540</v>
      </c>
    </row>
    <row r="306" spans="3:13">
      <c r="C306" s="283">
        <v>300</v>
      </c>
      <c r="D306" s="282" t="s">
        <v>1423</v>
      </c>
      <c r="E306" s="283">
        <f t="shared" si="4"/>
        <v>45</v>
      </c>
      <c r="F306" s="285" t="s">
        <v>1189</v>
      </c>
      <c r="G306" s="459" t="s">
        <v>558</v>
      </c>
      <c r="H306" s="459"/>
      <c r="I306" s="286" t="s">
        <v>540</v>
      </c>
    </row>
    <row r="307" spans="3:13" ht="30">
      <c r="C307" s="283">
        <v>301</v>
      </c>
      <c r="D307" s="282" t="s">
        <v>1424</v>
      </c>
      <c r="E307" s="283">
        <f t="shared" si="4"/>
        <v>45</v>
      </c>
      <c r="F307" s="285" t="s">
        <v>1190</v>
      </c>
      <c r="G307" s="459" t="s">
        <v>815</v>
      </c>
      <c r="H307" s="459"/>
      <c r="I307" s="286" t="s">
        <v>540</v>
      </c>
    </row>
    <row r="308" spans="3:13" ht="30">
      <c r="C308" s="283">
        <v>302</v>
      </c>
      <c r="D308" s="282" t="s">
        <v>1425</v>
      </c>
      <c r="E308" s="283">
        <f t="shared" si="4"/>
        <v>45</v>
      </c>
      <c r="F308" s="285" t="s">
        <v>1191</v>
      </c>
      <c r="G308" s="459" t="s">
        <v>816</v>
      </c>
      <c r="H308" s="459"/>
      <c r="I308" s="286" t="s">
        <v>540</v>
      </c>
    </row>
    <row r="309" spans="3:13" ht="30">
      <c r="C309" s="283">
        <v>303</v>
      </c>
      <c r="D309" s="282" t="s">
        <v>1426</v>
      </c>
      <c r="E309" s="283">
        <f t="shared" si="4"/>
        <v>45</v>
      </c>
      <c r="F309" s="285" t="s">
        <v>1192</v>
      </c>
      <c r="G309" s="459" t="s">
        <v>817</v>
      </c>
      <c r="H309" s="459"/>
      <c r="I309" s="286" t="s">
        <v>540</v>
      </c>
    </row>
    <row r="310" spans="3:13">
      <c r="C310" s="283">
        <v>304</v>
      </c>
      <c r="D310" s="282" t="s">
        <v>1427</v>
      </c>
      <c r="E310" s="283">
        <f t="shared" si="4"/>
        <v>45</v>
      </c>
      <c r="F310" s="285" t="s">
        <v>1193</v>
      </c>
      <c r="G310" s="459" t="s">
        <v>818</v>
      </c>
      <c r="H310" s="459"/>
      <c r="I310" s="286" t="s">
        <v>540</v>
      </c>
      <c r="M310" s="128"/>
    </row>
    <row r="311" spans="3:13">
      <c r="C311" s="283">
        <v>305</v>
      </c>
      <c r="D311" s="282" t="s">
        <v>1428</v>
      </c>
      <c r="E311" s="283">
        <f t="shared" si="4"/>
        <v>45</v>
      </c>
      <c r="F311" s="285" t="s">
        <v>1194</v>
      </c>
      <c r="G311" s="459" t="s">
        <v>103</v>
      </c>
      <c r="H311" s="459"/>
      <c r="I311" s="286" t="s">
        <v>540</v>
      </c>
      <c r="M311" s="128"/>
    </row>
    <row r="312" spans="3:13">
      <c r="C312" s="283">
        <v>306</v>
      </c>
      <c r="D312" s="282" t="s">
        <v>1429</v>
      </c>
      <c r="E312" s="283">
        <f t="shared" si="4"/>
        <v>45</v>
      </c>
      <c r="F312" s="285" t="s">
        <v>1195</v>
      </c>
      <c r="G312" s="459" t="s">
        <v>104</v>
      </c>
      <c r="H312" s="459"/>
      <c r="I312" s="286" t="s">
        <v>540</v>
      </c>
      <c r="M312" s="128"/>
    </row>
    <row r="313" spans="3:13">
      <c r="C313" s="283">
        <v>307</v>
      </c>
      <c r="D313" s="282" t="s">
        <v>1430</v>
      </c>
      <c r="E313" s="283">
        <f t="shared" si="4"/>
        <v>45</v>
      </c>
      <c r="F313" s="285" t="s">
        <v>1196</v>
      </c>
      <c r="G313" s="459" t="s">
        <v>828</v>
      </c>
      <c r="H313" s="459"/>
      <c r="I313" s="286" t="s">
        <v>540</v>
      </c>
      <c r="M313" s="128"/>
    </row>
    <row r="314" spans="3:13">
      <c r="C314" s="283">
        <v>308</v>
      </c>
      <c r="D314" s="282" t="s">
        <v>1431</v>
      </c>
      <c r="E314" s="283">
        <f t="shared" si="4"/>
        <v>45</v>
      </c>
      <c r="F314" s="285" t="s">
        <v>1197</v>
      </c>
      <c r="G314" s="459" t="s">
        <v>821</v>
      </c>
      <c r="H314" s="459"/>
      <c r="I314" s="286" t="s">
        <v>540</v>
      </c>
      <c r="M314" s="128"/>
    </row>
    <row r="315" spans="3:13">
      <c r="C315" s="283">
        <v>309</v>
      </c>
      <c r="D315" s="282" t="s">
        <v>1432</v>
      </c>
      <c r="E315" s="283">
        <f t="shared" si="4"/>
        <v>45</v>
      </c>
      <c r="F315" s="285" t="s">
        <v>369</v>
      </c>
      <c r="G315" s="459" t="s">
        <v>822</v>
      </c>
      <c r="H315" s="459"/>
      <c r="I315" s="286" t="s">
        <v>540</v>
      </c>
    </row>
    <row r="316" spans="3:13">
      <c r="C316" s="283">
        <v>310</v>
      </c>
      <c r="D316" s="282" t="s">
        <v>1433</v>
      </c>
      <c r="E316" s="283">
        <f t="shared" si="4"/>
        <v>45</v>
      </c>
      <c r="F316" s="285" t="s">
        <v>1198</v>
      </c>
      <c r="G316" s="459" t="s">
        <v>10</v>
      </c>
      <c r="H316" s="459"/>
      <c r="I316" s="286" t="s">
        <v>540</v>
      </c>
    </row>
    <row r="317" spans="3:13">
      <c r="C317" s="283">
        <v>311</v>
      </c>
      <c r="D317" s="282" t="s">
        <v>1434</v>
      </c>
      <c r="E317" s="283">
        <f t="shared" si="4"/>
        <v>45</v>
      </c>
      <c r="F317" s="285" t="s">
        <v>99</v>
      </c>
      <c r="G317" s="459" t="s">
        <v>96</v>
      </c>
      <c r="H317" s="459"/>
      <c r="I317" s="286" t="s">
        <v>540</v>
      </c>
    </row>
    <row r="318" spans="3:13">
      <c r="C318" s="283">
        <v>312</v>
      </c>
      <c r="D318" s="282" t="s">
        <v>1435</v>
      </c>
      <c r="E318" s="283">
        <f t="shared" si="4"/>
        <v>45</v>
      </c>
      <c r="F318" s="285" t="s">
        <v>264</v>
      </c>
      <c r="G318" s="459" t="s">
        <v>212</v>
      </c>
      <c r="H318" s="459"/>
      <c r="I318" s="286" t="s">
        <v>540</v>
      </c>
    </row>
    <row r="319" spans="3:13">
      <c r="C319" s="283">
        <v>313</v>
      </c>
      <c r="D319" s="282" t="s">
        <v>1436</v>
      </c>
      <c r="E319" s="283">
        <f t="shared" si="4"/>
        <v>45</v>
      </c>
      <c r="F319" s="285" t="s">
        <v>1199</v>
      </c>
      <c r="G319" s="459" t="s">
        <v>823</v>
      </c>
      <c r="H319" s="459"/>
      <c r="I319" s="286" t="s">
        <v>540</v>
      </c>
    </row>
    <row r="320" spans="3:13">
      <c r="C320" s="283">
        <v>314</v>
      </c>
      <c r="D320" s="282" t="s">
        <v>1437</v>
      </c>
      <c r="E320" s="283">
        <f t="shared" si="4"/>
        <v>45</v>
      </c>
      <c r="F320" s="285" t="s">
        <v>1200</v>
      </c>
      <c r="G320" s="459" t="s">
        <v>824</v>
      </c>
      <c r="H320" s="459"/>
      <c r="I320" s="286" t="s">
        <v>540</v>
      </c>
    </row>
    <row r="321" spans="3:9">
      <c r="C321" s="283">
        <v>315</v>
      </c>
      <c r="D321" s="282" t="s">
        <v>1438</v>
      </c>
      <c r="E321" s="283">
        <f t="shared" si="4"/>
        <v>45</v>
      </c>
      <c r="F321" s="285" t="s">
        <v>1201</v>
      </c>
      <c r="G321" s="459" t="s">
        <v>389</v>
      </c>
      <c r="H321" s="459"/>
      <c r="I321" s="286" t="s">
        <v>540</v>
      </c>
    </row>
    <row r="322" spans="3:9">
      <c r="C322" s="283">
        <v>316</v>
      </c>
      <c r="D322" s="282" t="s">
        <v>1439</v>
      </c>
      <c r="E322" s="283">
        <f t="shared" si="4"/>
        <v>45</v>
      </c>
      <c r="F322" s="285" t="s">
        <v>1202</v>
      </c>
      <c r="G322" s="459" t="s">
        <v>825</v>
      </c>
      <c r="H322" s="459"/>
      <c r="I322" s="286" t="s">
        <v>540</v>
      </c>
    </row>
    <row r="323" spans="3:9">
      <c r="C323" s="283">
        <v>317</v>
      </c>
      <c r="D323" s="282" t="s">
        <v>1440</v>
      </c>
      <c r="E323" s="283">
        <f t="shared" si="4"/>
        <v>45</v>
      </c>
      <c r="F323" s="285" t="s">
        <v>1203</v>
      </c>
      <c r="G323" s="459" t="s">
        <v>826</v>
      </c>
      <c r="H323" s="459"/>
      <c r="I323" s="286" t="s">
        <v>540</v>
      </c>
    </row>
    <row r="324" spans="3:9">
      <c r="C324" s="283">
        <v>318</v>
      </c>
      <c r="D324" s="282" t="s">
        <v>1441</v>
      </c>
      <c r="E324" s="283">
        <f t="shared" si="4"/>
        <v>45</v>
      </c>
      <c r="F324" s="285" t="s">
        <v>1204</v>
      </c>
      <c r="G324" s="459" t="s">
        <v>827</v>
      </c>
      <c r="H324" s="459"/>
      <c r="I324" s="286" t="s">
        <v>540</v>
      </c>
    </row>
    <row r="325" spans="3:9">
      <c r="C325" s="283">
        <v>319</v>
      </c>
      <c r="D325" s="282" t="s">
        <v>1442</v>
      </c>
      <c r="E325" s="283">
        <f t="shared" si="4"/>
        <v>45</v>
      </c>
      <c r="F325" s="285" t="s">
        <v>1205</v>
      </c>
      <c r="G325" s="459" t="s">
        <v>829</v>
      </c>
      <c r="H325" s="459"/>
      <c r="I325" s="286" t="s">
        <v>540</v>
      </c>
    </row>
    <row r="326" spans="3:9">
      <c r="C326" s="283">
        <v>320</v>
      </c>
      <c r="D326" s="282" t="s">
        <v>1443</v>
      </c>
      <c r="E326" s="283">
        <f t="shared" si="4"/>
        <v>45</v>
      </c>
      <c r="F326" s="285" t="s">
        <v>15</v>
      </c>
      <c r="G326" s="459" t="s">
        <v>15</v>
      </c>
      <c r="H326" s="459"/>
      <c r="I326" s="286" t="s">
        <v>540</v>
      </c>
    </row>
    <row r="327" spans="3:9">
      <c r="C327" s="283">
        <v>321</v>
      </c>
      <c r="D327" s="282" t="s">
        <v>1444</v>
      </c>
      <c r="E327" s="283">
        <f t="shared" si="4"/>
        <v>45</v>
      </c>
      <c r="F327" s="285" t="s">
        <v>830</v>
      </c>
      <c r="G327" s="459" t="s">
        <v>830</v>
      </c>
      <c r="H327" s="459"/>
      <c r="I327" s="286" t="s">
        <v>540</v>
      </c>
    </row>
    <row r="328" spans="3:9">
      <c r="C328" s="283">
        <v>322</v>
      </c>
      <c r="D328" s="282" t="s">
        <v>1445</v>
      </c>
      <c r="E328" s="283">
        <f t="shared" ref="E328:E363" si="5">MID(I328,1,3)*1</f>
        <v>45</v>
      </c>
      <c r="F328" s="285" t="s">
        <v>836</v>
      </c>
      <c r="G328" s="459" t="s">
        <v>836</v>
      </c>
      <c r="H328" s="459"/>
      <c r="I328" s="286" t="s">
        <v>540</v>
      </c>
    </row>
    <row r="329" spans="3:9">
      <c r="C329" s="283">
        <v>323</v>
      </c>
      <c r="D329" s="282" t="s">
        <v>1446</v>
      </c>
      <c r="E329" s="283">
        <f t="shared" si="5"/>
        <v>45</v>
      </c>
      <c r="F329" s="285" t="s">
        <v>127</v>
      </c>
      <c r="G329" s="459" t="s">
        <v>94</v>
      </c>
      <c r="H329" s="459"/>
      <c r="I329" s="286" t="s">
        <v>540</v>
      </c>
    </row>
    <row r="330" spans="3:9">
      <c r="C330" s="283">
        <v>324</v>
      </c>
      <c r="D330" s="282" t="s">
        <v>1447</v>
      </c>
      <c r="E330" s="283">
        <f t="shared" si="5"/>
        <v>45</v>
      </c>
      <c r="F330" s="285" t="s">
        <v>1206</v>
      </c>
      <c r="G330" s="459" t="s">
        <v>831</v>
      </c>
      <c r="H330" s="459"/>
      <c r="I330" s="286" t="s">
        <v>540</v>
      </c>
    </row>
    <row r="331" spans="3:9">
      <c r="C331" s="283">
        <v>325</v>
      </c>
      <c r="D331" s="282" t="s">
        <v>1448</v>
      </c>
      <c r="E331" s="283">
        <f t="shared" si="5"/>
        <v>45</v>
      </c>
      <c r="F331" s="285" t="s">
        <v>127</v>
      </c>
      <c r="G331" s="459" t="s">
        <v>38</v>
      </c>
      <c r="H331" s="459"/>
      <c r="I331" s="286" t="s">
        <v>540</v>
      </c>
    </row>
    <row r="332" spans="3:9">
      <c r="C332" s="283">
        <v>326</v>
      </c>
      <c r="D332" s="282" t="s">
        <v>1449</v>
      </c>
      <c r="E332" s="283">
        <f t="shared" si="5"/>
        <v>45</v>
      </c>
      <c r="F332" s="285" t="s">
        <v>117</v>
      </c>
      <c r="G332" s="459" t="s">
        <v>407</v>
      </c>
      <c r="H332" s="459"/>
      <c r="I332" s="286" t="s">
        <v>540</v>
      </c>
    </row>
    <row r="333" spans="3:9">
      <c r="C333" s="283">
        <v>327</v>
      </c>
      <c r="D333" s="282" t="s">
        <v>1450</v>
      </c>
      <c r="E333" s="283">
        <f t="shared" si="5"/>
        <v>45</v>
      </c>
      <c r="F333" s="285" t="s">
        <v>1207</v>
      </c>
      <c r="G333" s="459" t="s">
        <v>832</v>
      </c>
      <c r="H333" s="459"/>
      <c r="I333" s="286" t="s">
        <v>540</v>
      </c>
    </row>
    <row r="334" spans="3:9">
      <c r="C334" s="283">
        <v>328</v>
      </c>
      <c r="D334" s="282" t="s">
        <v>1451</v>
      </c>
      <c r="E334" s="283">
        <f t="shared" si="5"/>
        <v>45</v>
      </c>
      <c r="F334" s="285" t="s">
        <v>888</v>
      </c>
      <c r="G334" s="459" t="s">
        <v>721</v>
      </c>
      <c r="H334" s="459"/>
      <c r="I334" s="286" t="s">
        <v>540</v>
      </c>
    </row>
    <row r="335" spans="3:9">
      <c r="C335" s="283">
        <v>329</v>
      </c>
      <c r="D335" s="282" t="s">
        <v>1452</v>
      </c>
      <c r="E335" s="283">
        <f t="shared" si="5"/>
        <v>45</v>
      </c>
      <c r="F335" s="285" t="s">
        <v>1208</v>
      </c>
      <c r="G335" s="459" t="s">
        <v>833</v>
      </c>
      <c r="H335" s="459"/>
      <c r="I335" s="286" t="s">
        <v>540</v>
      </c>
    </row>
    <row r="336" spans="3:9">
      <c r="C336" s="283">
        <v>330</v>
      </c>
      <c r="D336" s="282" t="s">
        <v>1453</v>
      </c>
      <c r="E336" s="283">
        <f t="shared" si="5"/>
        <v>45</v>
      </c>
      <c r="F336" s="285" t="s">
        <v>1209</v>
      </c>
      <c r="G336" s="459" t="s">
        <v>112</v>
      </c>
      <c r="H336" s="459"/>
      <c r="I336" s="286" t="s">
        <v>540</v>
      </c>
    </row>
    <row r="337" spans="3:9">
      <c r="C337" s="283">
        <v>331</v>
      </c>
      <c r="D337" s="282" t="s">
        <v>1454</v>
      </c>
      <c r="E337" s="283">
        <f t="shared" si="5"/>
        <v>45</v>
      </c>
      <c r="F337" s="285" t="s">
        <v>1210</v>
      </c>
      <c r="G337" s="459" t="s">
        <v>835</v>
      </c>
      <c r="H337" s="459"/>
      <c r="I337" s="286" t="s">
        <v>540</v>
      </c>
    </row>
    <row r="338" spans="3:9">
      <c r="C338" s="283">
        <v>332</v>
      </c>
      <c r="D338" s="282" t="s">
        <v>1455</v>
      </c>
      <c r="E338" s="283">
        <f t="shared" si="5"/>
        <v>45</v>
      </c>
      <c r="F338" s="285" t="s">
        <v>1211</v>
      </c>
      <c r="G338" s="459" t="s">
        <v>114</v>
      </c>
      <c r="H338" s="459"/>
      <c r="I338" s="286" t="s">
        <v>540</v>
      </c>
    </row>
    <row r="339" spans="3:9">
      <c r="C339" s="283">
        <v>333</v>
      </c>
      <c r="D339" s="282" t="s">
        <v>1456</v>
      </c>
      <c r="E339" s="283">
        <f t="shared" si="5"/>
        <v>45</v>
      </c>
      <c r="F339" s="285" t="s">
        <v>1212</v>
      </c>
      <c r="G339" s="459" t="s">
        <v>834</v>
      </c>
      <c r="H339" s="459"/>
      <c r="I339" s="286" t="s">
        <v>540</v>
      </c>
    </row>
    <row r="340" spans="3:9">
      <c r="C340" s="283">
        <v>334</v>
      </c>
      <c r="D340" s="282" t="s">
        <v>1457</v>
      </c>
      <c r="E340" s="283">
        <f t="shared" si="5"/>
        <v>45</v>
      </c>
      <c r="F340" s="285" t="s">
        <v>1019</v>
      </c>
      <c r="G340" s="459" t="s">
        <v>521</v>
      </c>
      <c r="H340" s="459"/>
      <c r="I340" s="286" t="s">
        <v>540</v>
      </c>
    </row>
    <row r="341" spans="3:9">
      <c r="C341" s="283">
        <v>335</v>
      </c>
      <c r="D341" s="282" t="s">
        <v>1458</v>
      </c>
      <c r="E341" s="283">
        <f t="shared" si="5"/>
        <v>45</v>
      </c>
      <c r="F341" s="285"/>
      <c r="G341" s="459"/>
      <c r="H341" s="459"/>
      <c r="I341" s="286" t="s">
        <v>540</v>
      </c>
    </row>
    <row r="342" spans="3:9">
      <c r="C342" s="283">
        <v>336</v>
      </c>
      <c r="D342" s="282" t="s">
        <v>1459</v>
      </c>
      <c r="E342" s="283">
        <f t="shared" si="5"/>
        <v>45</v>
      </c>
      <c r="F342" s="285"/>
      <c r="G342" s="459"/>
      <c r="H342" s="459"/>
      <c r="I342" s="286" t="s">
        <v>540</v>
      </c>
    </row>
    <row r="343" spans="3:9">
      <c r="C343" s="283">
        <v>337</v>
      </c>
      <c r="D343" s="282" t="s">
        <v>1460</v>
      </c>
      <c r="E343" s="283">
        <f t="shared" si="5"/>
        <v>45</v>
      </c>
      <c r="F343" s="285"/>
      <c r="G343" s="459"/>
      <c r="H343" s="459"/>
      <c r="I343" s="286" t="s">
        <v>540</v>
      </c>
    </row>
    <row r="344" spans="3:9">
      <c r="C344" s="283">
        <v>338</v>
      </c>
      <c r="D344" s="282" t="s">
        <v>1461</v>
      </c>
      <c r="E344" s="283">
        <f t="shared" si="5"/>
        <v>45</v>
      </c>
      <c r="F344" s="285"/>
      <c r="G344" s="459"/>
      <c r="H344" s="459"/>
      <c r="I344" s="286" t="s">
        <v>540</v>
      </c>
    </row>
    <row r="345" spans="3:9">
      <c r="C345" s="283">
        <v>339</v>
      </c>
      <c r="D345" s="282" t="s">
        <v>1462</v>
      </c>
      <c r="E345" s="283">
        <f t="shared" si="5"/>
        <v>45</v>
      </c>
      <c r="F345" s="285"/>
      <c r="G345" s="459"/>
      <c r="H345" s="459"/>
      <c r="I345" s="286" t="s">
        <v>540</v>
      </c>
    </row>
    <row r="346" spans="3:9">
      <c r="C346" s="283">
        <v>340</v>
      </c>
      <c r="D346" s="282" t="s">
        <v>1463</v>
      </c>
      <c r="E346" s="283">
        <f t="shared" si="5"/>
        <v>45</v>
      </c>
      <c r="F346" s="285"/>
      <c r="G346" s="459"/>
      <c r="H346" s="459"/>
      <c r="I346" s="286" t="s">
        <v>540</v>
      </c>
    </row>
    <row r="347" spans="3:9">
      <c r="C347" s="283">
        <v>341</v>
      </c>
      <c r="D347" s="282" t="s">
        <v>1464</v>
      </c>
      <c r="E347" s="283">
        <f t="shared" si="5"/>
        <v>45</v>
      </c>
      <c r="F347" s="285"/>
      <c r="G347" s="459"/>
      <c r="H347" s="459"/>
      <c r="I347" s="286" t="s">
        <v>540</v>
      </c>
    </row>
    <row r="348" spans="3:9">
      <c r="C348" s="283">
        <v>342</v>
      </c>
      <c r="D348" s="282" t="s">
        <v>1465</v>
      </c>
      <c r="E348" s="283">
        <f t="shared" si="5"/>
        <v>45</v>
      </c>
      <c r="F348" s="285"/>
      <c r="G348" s="459"/>
      <c r="H348" s="459"/>
      <c r="I348" s="286" t="s">
        <v>540</v>
      </c>
    </row>
    <row r="349" spans="3:9">
      <c r="C349" s="283">
        <v>343</v>
      </c>
      <c r="D349" s="282" t="s">
        <v>1466</v>
      </c>
      <c r="E349" s="283">
        <f t="shared" si="5"/>
        <v>45</v>
      </c>
      <c r="F349" s="285"/>
      <c r="G349" s="459"/>
      <c r="H349" s="459"/>
      <c r="I349" s="286" t="s">
        <v>540</v>
      </c>
    </row>
    <row r="350" spans="3:9">
      <c r="C350" s="283">
        <v>344</v>
      </c>
      <c r="D350" s="282" t="s">
        <v>1467</v>
      </c>
      <c r="E350" s="283">
        <f t="shared" si="5"/>
        <v>45</v>
      </c>
      <c r="F350" s="285"/>
      <c r="G350" s="459"/>
      <c r="H350" s="459"/>
      <c r="I350" s="286" t="s">
        <v>540</v>
      </c>
    </row>
    <row r="351" spans="3:9">
      <c r="C351" s="283">
        <v>345</v>
      </c>
      <c r="D351" s="282" t="s">
        <v>1468</v>
      </c>
      <c r="E351" s="283">
        <f t="shared" si="5"/>
        <v>45</v>
      </c>
      <c r="F351" s="285"/>
      <c r="G351" s="459"/>
      <c r="H351" s="459"/>
      <c r="I351" s="286" t="s">
        <v>540</v>
      </c>
    </row>
    <row r="352" spans="3:9">
      <c r="C352" s="283">
        <v>346</v>
      </c>
      <c r="D352" s="282" t="s">
        <v>1469</v>
      </c>
      <c r="E352" s="283">
        <f t="shared" si="5"/>
        <v>45</v>
      </c>
      <c r="F352" s="285"/>
      <c r="G352" s="459"/>
      <c r="H352" s="459"/>
      <c r="I352" s="286" t="s">
        <v>540</v>
      </c>
    </row>
    <row r="353" spans="3:9">
      <c r="C353" s="283">
        <v>347</v>
      </c>
      <c r="D353" s="282" t="s">
        <v>1470</v>
      </c>
      <c r="E353" s="283">
        <f t="shared" si="5"/>
        <v>45</v>
      </c>
      <c r="F353" s="285"/>
      <c r="G353" s="459"/>
      <c r="H353" s="459"/>
      <c r="I353" s="286" t="s">
        <v>540</v>
      </c>
    </row>
    <row r="354" spans="3:9">
      <c r="C354" s="283">
        <v>348</v>
      </c>
      <c r="D354" s="282" t="s">
        <v>1471</v>
      </c>
      <c r="E354" s="283">
        <f t="shared" si="5"/>
        <v>45</v>
      </c>
      <c r="F354" s="285"/>
      <c r="G354" s="459"/>
      <c r="H354" s="459"/>
      <c r="I354" s="286" t="s">
        <v>540</v>
      </c>
    </row>
    <row r="355" spans="3:9">
      <c r="C355" s="283">
        <v>349</v>
      </c>
      <c r="D355" s="282" t="s">
        <v>1472</v>
      </c>
      <c r="E355" s="283">
        <f t="shared" si="5"/>
        <v>45</v>
      </c>
      <c r="F355" s="285"/>
      <c r="G355" s="459"/>
      <c r="H355" s="459"/>
      <c r="I355" s="286" t="s">
        <v>540</v>
      </c>
    </row>
    <row r="356" spans="3:9">
      <c r="C356" s="283">
        <v>350</v>
      </c>
      <c r="D356" s="282" t="s">
        <v>1473</v>
      </c>
      <c r="E356" s="283">
        <f t="shared" si="5"/>
        <v>45</v>
      </c>
      <c r="F356" s="285"/>
      <c r="G356" s="459"/>
      <c r="H356" s="459"/>
      <c r="I356" s="286" t="s">
        <v>540</v>
      </c>
    </row>
    <row r="357" spans="3:9">
      <c r="C357" s="283">
        <v>351</v>
      </c>
      <c r="D357" s="282" t="s">
        <v>1474</v>
      </c>
      <c r="E357" s="283">
        <f t="shared" si="5"/>
        <v>45</v>
      </c>
      <c r="F357" s="285"/>
      <c r="G357" s="459"/>
      <c r="H357" s="459"/>
      <c r="I357" s="286" t="s">
        <v>540</v>
      </c>
    </row>
    <row r="358" spans="3:9">
      <c r="C358" s="283">
        <v>352</v>
      </c>
      <c r="D358" s="282" t="s">
        <v>1475</v>
      </c>
      <c r="E358" s="283">
        <f t="shared" si="5"/>
        <v>45</v>
      </c>
      <c r="F358" s="285"/>
      <c r="G358" s="459"/>
      <c r="H358" s="459"/>
      <c r="I358" s="286" t="s">
        <v>540</v>
      </c>
    </row>
    <row r="359" spans="3:9">
      <c r="C359" s="283">
        <v>353</v>
      </c>
      <c r="D359" s="282" t="s">
        <v>1476</v>
      </c>
      <c r="E359" s="283">
        <f t="shared" si="5"/>
        <v>45</v>
      </c>
      <c r="F359" s="285"/>
      <c r="G359" s="459"/>
      <c r="H359" s="459"/>
      <c r="I359" s="286" t="s">
        <v>540</v>
      </c>
    </row>
    <row r="360" spans="3:9">
      <c r="C360" s="283">
        <v>354</v>
      </c>
      <c r="D360" s="282" t="s">
        <v>1477</v>
      </c>
      <c r="E360" s="283">
        <f t="shared" si="5"/>
        <v>45</v>
      </c>
      <c r="F360" s="285"/>
      <c r="G360" s="459"/>
      <c r="H360" s="459"/>
      <c r="I360" s="286" t="s">
        <v>540</v>
      </c>
    </row>
    <row r="361" spans="3:9">
      <c r="C361" s="283">
        <v>355</v>
      </c>
      <c r="D361" s="282" t="s">
        <v>1478</v>
      </c>
      <c r="E361" s="283">
        <f t="shared" si="5"/>
        <v>45</v>
      </c>
      <c r="F361" s="285"/>
      <c r="G361" s="459"/>
      <c r="H361" s="459"/>
      <c r="I361" s="286" t="s">
        <v>540</v>
      </c>
    </row>
    <row r="362" spans="3:9">
      <c r="C362" s="283">
        <v>356</v>
      </c>
      <c r="D362" s="282" t="s">
        <v>1479</v>
      </c>
      <c r="E362" s="283">
        <f t="shared" si="5"/>
        <v>45</v>
      </c>
      <c r="F362" s="285"/>
      <c r="G362" s="459"/>
      <c r="H362" s="459"/>
      <c r="I362" s="286" t="s">
        <v>540</v>
      </c>
    </row>
    <row r="363" spans="3:9">
      <c r="C363" s="283">
        <v>357</v>
      </c>
      <c r="D363" s="282" t="s">
        <v>1480</v>
      </c>
      <c r="E363" s="283">
        <f t="shared" si="5"/>
        <v>45</v>
      </c>
      <c r="F363" s="285"/>
      <c r="G363" s="459"/>
      <c r="H363" s="459"/>
      <c r="I363" s="286" t="s">
        <v>540</v>
      </c>
    </row>
  </sheetData>
  <autoFilter ref="C6:I6" xr:uid="{B0558283-FF8A-41F9-BAB7-D9618D2D7925}"/>
  <mergeCells count="1">
    <mergeCell ref="C3:I3"/>
  </mergeCells>
  <phoneticPr fontId="37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7570" r:id="rId3" name="Button 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47625</xdr:rowOff>
                  </from>
                  <to>
                    <xdr:col>3</xdr:col>
                    <xdr:colOff>476250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>
    <tabColor rgb="FF0070C0"/>
  </sheetPr>
  <dimension ref="B1:AN918"/>
  <sheetViews>
    <sheetView showGridLines="0" zoomScale="80" zoomScaleNormal="80" zoomScaleSheetLayoutView="96" workbookViewId="0">
      <pane ySplit="5" topLeftCell="A6" activePane="bottomLeft" state="frozen"/>
      <selection pane="bottomLeft" activeCell="B6" sqref="B6:AG6"/>
    </sheetView>
  </sheetViews>
  <sheetFormatPr defaultColWidth="16.140625" defaultRowHeight="24" customHeight="1"/>
  <cols>
    <col min="1" max="1" width="4.140625" customWidth="1"/>
    <col min="2" max="2" width="7.85546875" style="510" customWidth="1"/>
    <col min="3" max="3" width="14.85546875" style="511" customWidth="1"/>
    <col min="4" max="4" width="14" style="512" customWidth="1"/>
    <col min="5" max="5" width="17.5703125" style="510" customWidth="1"/>
    <col min="6" max="6" width="11.42578125" style="510" customWidth="1"/>
    <col min="7" max="7" width="16.7109375" style="510" customWidth="1"/>
    <col min="8" max="8" width="10.7109375" style="510" customWidth="1"/>
    <col min="9" max="9" width="16.140625" style="510" customWidth="1"/>
    <col min="10" max="10" width="16.42578125" style="510" customWidth="1"/>
    <col min="11" max="11" width="13.140625" style="510" customWidth="1"/>
    <col min="12" max="12" width="14" style="510" customWidth="1"/>
    <col min="13" max="14" width="17.85546875" style="510" customWidth="1"/>
    <col min="15" max="15" width="16.42578125" style="510" customWidth="1"/>
    <col min="16" max="16" width="14.140625" style="672" customWidth="1"/>
    <col min="17" max="17" width="29.28515625" style="513" customWidth="1"/>
    <col min="18" max="18" width="13.85546875" style="672" bestFit="1" customWidth="1"/>
    <col min="19" max="19" width="22.7109375" style="1087" bestFit="1" customWidth="1"/>
    <col min="20" max="21" width="16.140625" style="1087" bestFit="1" customWidth="1"/>
    <col min="22" max="22" width="12.85546875" style="1087" bestFit="1" customWidth="1"/>
    <col min="23" max="23" width="13" style="1086" bestFit="1" customWidth="1"/>
    <col min="24" max="24" width="16.5703125" style="1086" customWidth="1"/>
    <col min="25" max="25" width="14.7109375" style="1017" bestFit="1" customWidth="1"/>
    <col min="26" max="26" width="13.85546875" style="1017" bestFit="1" customWidth="1"/>
    <col min="27" max="27" width="15" style="1082" bestFit="1" customWidth="1"/>
    <col min="28" max="28" width="9.85546875" style="1011" bestFit="1" customWidth="1"/>
    <col min="29" max="29" width="15.5703125" style="514" customWidth="1"/>
    <col min="30" max="30" width="11.7109375" style="514" bestFit="1" customWidth="1"/>
    <col min="31" max="31" width="8.140625" style="515" bestFit="1" customWidth="1"/>
    <col min="32" max="32" width="6.7109375" style="510" bestFit="1" customWidth="1"/>
    <col min="33" max="33" width="6.28515625" style="510" bestFit="1" customWidth="1"/>
    <col min="34" max="34" width="16.140625" style="204"/>
    <col min="35" max="35" width="13.7109375" bestFit="1" customWidth="1"/>
  </cols>
  <sheetData>
    <row r="1" spans="2:40" ht="56.25" customHeight="1" thickBot="1">
      <c r="B1" s="1385" t="str">
        <f>MID(AK1,3,100)</f>
        <v>បញ្ជីវិក្កយប័ត្រមិនទាន់ទូទាត់រួច</v>
      </c>
      <c r="C1" s="1384"/>
      <c r="D1" s="1388"/>
      <c r="E1" s="1380"/>
      <c r="F1" s="1380"/>
      <c r="G1" s="1380"/>
      <c r="H1" s="1380"/>
      <c r="I1" s="1380"/>
      <c r="J1" s="1380"/>
      <c r="K1" s="1380"/>
      <c r="L1" s="1380"/>
      <c r="M1" s="1380"/>
      <c r="N1" s="1380"/>
      <c r="O1" s="1380"/>
      <c r="P1" s="1380"/>
      <c r="Q1" s="1380"/>
      <c r="R1" s="1380"/>
      <c r="S1" s="1380"/>
      <c r="T1" s="1380"/>
      <c r="U1" s="1380"/>
      <c r="V1" s="1380"/>
      <c r="W1" s="1381"/>
      <c r="X1" s="1381"/>
      <c r="Y1" s="1380"/>
      <c r="Z1" s="1380"/>
      <c r="AA1" s="1381"/>
      <c r="AB1" s="1382"/>
      <c r="AC1" s="673"/>
      <c r="AD1" s="673"/>
      <c r="AE1"/>
      <c r="AF1"/>
      <c r="AG1" s="13"/>
      <c r="AH1" s="868" t="s">
        <v>26</v>
      </c>
      <c r="AI1" s="250">
        <f>IF(AH1&lt;&gt;"",MID(AH1,1,2)*1,"")</f>
        <v>3</v>
      </c>
      <c r="AJ1" s="403" t="s">
        <v>1862</v>
      </c>
      <c r="AK1" s="1603" t="s">
        <v>849</v>
      </c>
      <c r="AL1" s="1603"/>
    </row>
    <row r="2" spans="2:40" ht="24" customHeight="1">
      <c r="B2" s="1377"/>
      <c r="C2" s="1378"/>
      <c r="D2" s="1389"/>
      <c r="E2" s="1378"/>
      <c r="F2" s="1378"/>
      <c r="G2" s="1378"/>
      <c r="H2" s="1378"/>
      <c r="I2" s="1378"/>
      <c r="J2" s="1378"/>
      <c r="K2" s="1378"/>
      <c r="L2" s="1378"/>
      <c r="M2" s="1378"/>
      <c r="N2" s="1378"/>
      <c r="O2" s="1378"/>
      <c r="P2" s="1378"/>
      <c r="Q2" s="1378"/>
      <c r="R2" s="1378"/>
      <c r="S2" s="1378"/>
      <c r="T2" s="1378"/>
      <c r="U2" s="1378"/>
      <c r="V2" s="1378"/>
      <c r="W2" s="1379"/>
      <c r="X2" s="1379"/>
      <c r="Y2" s="1378"/>
      <c r="Z2" s="1095">
        <v>1</v>
      </c>
      <c r="AA2" s="1383">
        <v>3</v>
      </c>
      <c r="AB2" s="1095">
        <v>2</v>
      </c>
      <c r="AC2" s="952"/>
      <c r="AD2" s="952"/>
      <c r="AE2"/>
      <c r="AF2"/>
      <c r="AG2" s="13"/>
      <c r="AH2" s="433" t="str">
        <f>"ប្រចាំឆ្នាំ "&amp;MID(AH1,4,30)</f>
        <v>ប្រចាំឆ្នាំ មីនា</v>
      </c>
      <c r="AI2" s="143" t="str">
        <f>IF(AH1="","","01/"&amp;MID(AH1,1,2)&amp;"/"&amp;AJ1)</f>
        <v>01/03/2026</v>
      </c>
      <c r="AJ2" s="430">
        <f>IF(AH1="","",EOMONTH(AI2,0))</f>
        <v>46112</v>
      </c>
      <c r="AK2" s="431" t="s">
        <v>849</v>
      </c>
      <c r="AL2" s="432"/>
      <c r="AM2" s="81"/>
    </row>
    <row r="3" spans="2:40" ht="27" customHeight="1">
      <c r="B3" s="1006"/>
      <c r="C3" s="671"/>
      <c r="D3" s="1390"/>
      <c r="E3" s="671"/>
      <c r="F3" s="671"/>
      <c r="G3" s="671"/>
      <c r="H3" s="671"/>
      <c r="I3" s="671"/>
      <c r="J3" s="671"/>
      <c r="K3" s="671"/>
      <c r="L3" s="671"/>
      <c r="M3" s="671"/>
      <c r="N3" s="671"/>
      <c r="O3" s="671"/>
      <c r="P3" s="671"/>
      <c r="Q3" s="671"/>
      <c r="R3" s="1026"/>
      <c r="S3" s="1026"/>
      <c r="T3" s="1026"/>
      <c r="U3" s="1026"/>
      <c r="V3" s="1026"/>
      <c r="W3" s="1083"/>
      <c r="X3" s="1083"/>
      <c r="Y3" s="1014"/>
      <c r="Z3" s="401" t="s">
        <v>324</v>
      </c>
      <c r="AA3" s="1079" t="s">
        <v>326</v>
      </c>
      <c r="AB3" s="427" t="s">
        <v>325</v>
      </c>
      <c r="AC3" s="952"/>
      <c r="AD3" s="952"/>
      <c r="AE3"/>
      <c r="AF3"/>
      <c r="AG3" s="13"/>
      <c r="AH3" s="593" t="str">
        <f>IF(AH1="","",IF(MID($AK$1,1,1)="1","ចាប់ពីថ្ងៃទី ( 01/01/2024","ប្រចាំខែ "&amp;MID($AH$1,4,40)&amp;"( 01/"&amp;MID($AH$1,1,2)&amp;"/"&amp;$AJ$1)&amp;" - "&amp;DAY($AJ$2)&amp;"/"&amp;MID(TEXT(MONTH($AJ$2),"00"),1,2)&amp;"/"&amp;YEAR($AJ$2)&amp;" )")</f>
        <v>ចាប់ពីថ្ងៃទី ( 01/01/2024 - 31/03/2026 )</v>
      </c>
      <c r="AI3" s="146"/>
      <c r="AJ3" s="146"/>
      <c r="AK3" s="429" t="s">
        <v>848</v>
      </c>
      <c r="AL3" s="81"/>
      <c r="AM3" s="81"/>
      <c r="AN3" s="428"/>
    </row>
    <row r="4" spans="2:40" ht="30" customHeight="1">
      <c r="B4" s="516" t="s">
        <v>59</v>
      </c>
      <c r="C4" s="516" t="s">
        <v>1813</v>
      </c>
      <c r="D4" s="1391" t="s">
        <v>99</v>
      </c>
      <c r="E4" s="516" t="s">
        <v>1949</v>
      </c>
      <c r="F4" s="516" t="s">
        <v>258</v>
      </c>
      <c r="G4" s="516" t="s">
        <v>2262</v>
      </c>
      <c r="H4" s="516" t="s">
        <v>265</v>
      </c>
      <c r="I4" s="516" t="s">
        <v>259</v>
      </c>
      <c r="J4" s="516" t="s">
        <v>61</v>
      </c>
      <c r="K4" s="516" t="s">
        <v>260</v>
      </c>
      <c r="L4" s="516" t="s">
        <v>244</v>
      </c>
      <c r="M4" s="516" t="s">
        <v>2426</v>
      </c>
      <c r="N4" s="516" t="s">
        <v>866</v>
      </c>
      <c r="O4" s="516" t="s">
        <v>2167</v>
      </c>
      <c r="P4" s="516" t="s">
        <v>261</v>
      </c>
      <c r="Q4" s="516" t="s">
        <v>107</v>
      </c>
      <c r="R4" s="1013" t="s">
        <v>1075</v>
      </c>
      <c r="S4" s="1013" t="s">
        <v>2274</v>
      </c>
      <c r="T4" s="1013" t="s">
        <v>1891</v>
      </c>
      <c r="U4" s="1013" t="s">
        <v>1891</v>
      </c>
      <c r="V4" s="1013" t="s">
        <v>1948</v>
      </c>
      <c r="W4" s="1084" t="s">
        <v>263</v>
      </c>
      <c r="X4" s="1084" t="s">
        <v>1742</v>
      </c>
      <c r="Y4" s="1015" t="s">
        <v>262</v>
      </c>
      <c r="Z4" s="1015" t="s">
        <v>249</v>
      </c>
      <c r="AA4" s="1080" t="s">
        <v>110</v>
      </c>
      <c r="AB4" s="1012" t="s">
        <v>264</v>
      </c>
      <c r="AC4" s="953" t="s">
        <v>101</v>
      </c>
      <c r="AD4" s="953" t="s">
        <v>1958</v>
      </c>
      <c r="AE4" s="516" t="s">
        <v>98</v>
      </c>
      <c r="AF4" s="516" t="s">
        <v>208</v>
      </c>
      <c r="AG4" s="516" t="s">
        <v>307</v>
      </c>
      <c r="AH4"/>
      <c r="AJ4" s="280"/>
      <c r="AL4" s="428"/>
      <c r="AM4" s="428"/>
      <c r="AN4" s="428" t="s">
        <v>1958</v>
      </c>
    </row>
    <row r="5" spans="2:40" s="253" customFormat="1" ht="26.25" customHeight="1">
      <c r="B5" s="517" t="s">
        <v>328</v>
      </c>
      <c r="C5" s="517" t="s">
        <v>111</v>
      </c>
      <c r="D5" s="1392" t="s">
        <v>128</v>
      </c>
      <c r="E5" s="517" t="s">
        <v>1950</v>
      </c>
      <c r="F5" s="517" t="s">
        <v>253</v>
      </c>
      <c r="G5" s="517" t="s">
        <v>2013</v>
      </c>
      <c r="H5" s="517" t="s">
        <v>266</v>
      </c>
      <c r="I5" s="517" t="s">
        <v>254</v>
      </c>
      <c r="J5" s="517" t="s">
        <v>257</v>
      </c>
      <c r="K5" s="517" t="s">
        <v>255</v>
      </c>
      <c r="L5" s="517" t="s">
        <v>243</v>
      </c>
      <c r="M5" s="517" t="s">
        <v>2425</v>
      </c>
      <c r="N5" s="517" t="s">
        <v>863</v>
      </c>
      <c r="O5" s="517" t="s">
        <v>2445</v>
      </c>
      <c r="P5" s="517" t="s">
        <v>256</v>
      </c>
      <c r="Q5" s="517" t="s">
        <v>211</v>
      </c>
      <c r="R5" s="517" t="s">
        <v>14</v>
      </c>
      <c r="S5" s="517" t="s">
        <v>2273</v>
      </c>
      <c r="T5" s="517" t="s">
        <v>1729</v>
      </c>
      <c r="U5" s="1088" t="s">
        <v>1946</v>
      </c>
      <c r="V5" s="1088" t="s">
        <v>1731</v>
      </c>
      <c r="W5" s="1085" t="s">
        <v>112</v>
      </c>
      <c r="X5" s="1085" t="s">
        <v>1947</v>
      </c>
      <c r="Y5" s="1016" t="s">
        <v>113</v>
      </c>
      <c r="Z5" s="1016" t="s">
        <v>835</v>
      </c>
      <c r="AA5" s="1081" t="s">
        <v>114</v>
      </c>
      <c r="AB5" s="853" t="s">
        <v>212</v>
      </c>
      <c r="AC5" s="517" t="s">
        <v>106</v>
      </c>
      <c r="AD5" s="517" t="s">
        <v>1956</v>
      </c>
      <c r="AE5" s="517" t="s">
        <v>102</v>
      </c>
      <c r="AF5" s="517" t="s">
        <v>12</v>
      </c>
      <c r="AG5" s="517" t="s">
        <v>308</v>
      </c>
      <c r="AH5" s="253" t="s">
        <v>406</v>
      </c>
      <c r="AL5" s="348"/>
      <c r="AM5" s="348"/>
      <c r="AN5" s="348" t="s">
        <v>1956</v>
      </c>
    </row>
    <row r="6" spans="2:40" ht="24" customHeight="1">
      <c r="D6" s="1263"/>
      <c r="E6" s="512"/>
      <c r="Y6" s="1090"/>
      <c r="Z6" s="1090"/>
      <c r="AA6" s="1091"/>
      <c r="AC6" s="511"/>
      <c r="AI6" s="280"/>
    </row>
    <row r="7" spans="2:40" ht="24" customHeight="1">
      <c r="D7" s="1263"/>
      <c r="E7" s="512"/>
      <c r="AC7" s="511"/>
      <c r="AI7" s="280"/>
    </row>
    <row r="8" spans="2:40" ht="24" customHeight="1">
      <c r="D8" s="1263"/>
      <c r="E8" s="512"/>
      <c r="AC8" s="511"/>
    </row>
    <row r="9" spans="2:40" ht="24" customHeight="1">
      <c r="B9" s="1023"/>
      <c r="D9" s="1265"/>
      <c r="E9" s="512"/>
      <c r="AI9" s="280"/>
    </row>
    <row r="10" spans="2:40" ht="24" customHeight="1">
      <c r="B10" s="1023"/>
      <c r="D10" s="1264"/>
      <c r="E10" s="512"/>
      <c r="AI10" s="280"/>
    </row>
    <row r="11" spans="2:40" ht="24" customHeight="1">
      <c r="B11" s="1023"/>
      <c r="D11" s="1197"/>
      <c r="E11" s="512"/>
      <c r="AI11" s="280"/>
    </row>
    <row r="12" spans="2:40" ht="24" customHeight="1">
      <c r="B12" s="1023"/>
      <c r="D12" s="1197"/>
      <c r="E12" s="512"/>
      <c r="AI12" s="280"/>
    </row>
    <row r="13" spans="2:40" ht="24" customHeight="1">
      <c r="B13" s="1023"/>
      <c r="D13" s="1197"/>
      <c r="E13" s="512"/>
      <c r="AI13" s="280"/>
    </row>
    <row r="14" spans="2:40" ht="24" customHeight="1">
      <c r="B14" s="1023"/>
      <c r="E14" s="512"/>
      <c r="AI14" s="280"/>
    </row>
    <row r="15" spans="2:40" ht="24" customHeight="1">
      <c r="B15" s="1023"/>
      <c r="E15" s="512"/>
      <c r="AH15" s="204" t="str">
        <f t="shared" ref="AH15:AH70" si="0">IF(B15="","",B15)</f>
        <v/>
      </c>
      <c r="AI15" s="280"/>
    </row>
    <row r="16" spans="2:40" ht="24" customHeight="1">
      <c r="B16" s="1023"/>
      <c r="E16" s="512"/>
      <c r="AH16" s="204" t="str">
        <f t="shared" si="0"/>
        <v/>
      </c>
      <c r="AI16" s="280"/>
    </row>
    <row r="17" spans="2:35" ht="24" customHeight="1">
      <c r="B17" s="1023"/>
      <c r="E17" s="512"/>
      <c r="AH17" s="204" t="str">
        <f t="shared" si="0"/>
        <v/>
      </c>
      <c r="AI17" s="280"/>
    </row>
    <row r="18" spans="2:35" ht="24" customHeight="1">
      <c r="B18" s="1023"/>
      <c r="E18" s="512"/>
      <c r="AH18" s="204" t="str">
        <f t="shared" si="0"/>
        <v/>
      </c>
      <c r="AI18" s="280"/>
    </row>
    <row r="19" spans="2:35" ht="24" customHeight="1">
      <c r="B19" s="1023"/>
      <c r="E19" s="512"/>
      <c r="AH19" s="204" t="str">
        <f t="shared" si="0"/>
        <v/>
      </c>
      <c r="AI19" s="280"/>
    </row>
    <row r="20" spans="2:35" ht="24" customHeight="1">
      <c r="B20" s="1023"/>
      <c r="E20" s="512"/>
      <c r="AH20" s="204" t="str">
        <f t="shared" si="0"/>
        <v/>
      </c>
      <c r="AI20" s="280"/>
    </row>
    <row r="21" spans="2:35" ht="24" customHeight="1">
      <c r="B21" s="1023"/>
      <c r="E21" s="512"/>
      <c r="AH21" s="204" t="str">
        <f t="shared" si="0"/>
        <v/>
      </c>
      <c r="AI21" s="280"/>
    </row>
    <row r="22" spans="2:35" ht="24" customHeight="1">
      <c r="B22" s="1023"/>
      <c r="E22" s="512"/>
      <c r="AH22" s="204" t="str">
        <f t="shared" si="0"/>
        <v/>
      </c>
      <c r="AI22" s="280"/>
    </row>
    <row r="23" spans="2:35" ht="24" customHeight="1">
      <c r="B23" s="1023"/>
      <c r="E23" s="512"/>
      <c r="AH23" s="204" t="str">
        <f t="shared" si="0"/>
        <v/>
      </c>
      <c r="AI23" s="280"/>
    </row>
    <row r="24" spans="2:35" ht="24" customHeight="1">
      <c r="B24" s="1024"/>
      <c r="E24" s="512"/>
      <c r="AH24" s="204" t="str">
        <f t="shared" si="0"/>
        <v/>
      </c>
      <c r="AI24" s="280"/>
    </row>
    <row r="25" spans="2:35" ht="24" customHeight="1">
      <c r="B25" s="1024"/>
      <c r="E25" s="512"/>
      <c r="AH25" s="204" t="str">
        <f t="shared" si="0"/>
        <v/>
      </c>
      <c r="AI25" s="280"/>
    </row>
    <row r="26" spans="2:35" ht="24" customHeight="1">
      <c r="B26" s="1024"/>
      <c r="E26" s="512"/>
      <c r="AH26" s="204" t="str">
        <f t="shared" si="0"/>
        <v/>
      </c>
      <c r="AI26" s="280"/>
    </row>
    <row r="27" spans="2:35" ht="24" customHeight="1">
      <c r="B27" s="1024"/>
      <c r="E27" s="512"/>
      <c r="AH27" s="204" t="str">
        <f t="shared" si="0"/>
        <v/>
      </c>
      <c r="AI27" s="280"/>
    </row>
    <row r="28" spans="2:35" ht="24" customHeight="1">
      <c r="B28" s="1024"/>
      <c r="E28" s="512"/>
      <c r="AH28" s="204" t="str">
        <f t="shared" si="0"/>
        <v/>
      </c>
      <c r="AI28" s="280"/>
    </row>
    <row r="29" spans="2:35" ht="24" customHeight="1">
      <c r="B29" s="1024"/>
      <c r="E29" s="512"/>
      <c r="AH29" s="204" t="str">
        <f t="shared" si="0"/>
        <v/>
      </c>
      <c r="AI29" s="280"/>
    </row>
    <row r="30" spans="2:35" ht="24" customHeight="1">
      <c r="B30" s="1024"/>
      <c r="E30" s="512"/>
      <c r="AH30" s="204" t="str">
        <f t="shared" si="0"/>
        <v/>
      </c>
      <c r="AI30" s="280"/>
    </row>
    <row r="31" spans="2:35" ht="24" customHeight="1">
      <c r="B31" s="1025"/>
      <c r="E31" s="512"/>
      <c r="AH31" s="204" t="str">
        <f t="shared" si="0"/>
        <v/>
      </c>
      <c r="AI31" s="280"/>
    </row>
    <row r="32" spans="2:35" ht="24" customHeight="1">
      <c r="B32" s="1023"/>
      <c r="E32" s="512"/>
      <c r="AH32" s="204" t="str">
        <f t="shared" si="0"/>
        <v/>
      </c>
      <c r="AI32" s="280"/>
    </row>
    <row r="33" spans="2:35" ht="24" customHeight="1">
      <c r="B33" s="1023"/>
      <c r="E33" s="512"/>
      <c r="AH33" s="204" t="str">
        <f t="shared" si="0"/>
        <v/>
      </c>
      <c r="AI33" s="280"/>
    </row>
    <row r="34" spans="2:35" ht="24" customHeight="1">
      <c r="B34" s="1023"/>
      <c r="E34" s="512"/>
      <c r="AH34" s="204" t="str">
        <f t="shared" si="0"/>
        <v/>
      </c>
      <c r="AI34" s="280"/>
    </row>
    <row r="35" spans="2:35" ht="24" customHeight="1">
      <c r="B35" s="1023"/>
      <c r="E35" s="512"/>
      <c r="AH35" s="204" t="str">
        <f t="shared" si="0"/>
        <v/>
      </c>
      <c r="AI35" s="280"/>
    </row>
    <row r="36" spans="2:35" ht="24" customHeight="1">
      <c r="B36" s="1023"/>
      <c r="E36" s="512"/>
      <c r="AH36" s="204" t="str">
        <f t="shared" si="0"/>
        <v/>
      </c>
      <c r="AI36" s="280"/>
    </row>
    <row r="37" spans="2:35" ht="24" customHeight="1">
      <c r="E37" s="512"/>
      <c r="AH37" s="204" t="str">
        <f t="shared" si="0"/>
        <v/>
      </c>
      <c r="AI37" s="280"/>
    </row>
    <row r="38" spans="2:35" ht="24" customHeight="1">
      <c r="E38" s="512"/>
      <c r="AH38" s="204" t="str">
        <f t="shared" si="0"/>
        <v/>
      </c>
      <c r="AI38" s="280"/>
    </row>
    <row r="39" spans="2:35" ht="24" customHeight="1">
      <c r="E39" s="512"/>
      <c r="AH39" s="204" t="str">
        <f t="shared" si="0"/>
        <v/>
      </c>
      <c r="AI39" s="280"/>
    </row>
    <row r="40" spans="2:35" ht="24" customHeight="1">
      <c r="E40" s="512"/>
      <c r="AH40" s="204" t="str">
        <f t="shared" si="0"/>
        <v/>
      </c>
      <c r="AI40" s="280"/>
    </row>
    <row r="41" spans="2:35" ht="24" customHeight="1">
      <c r="E41" s="512"/>
      <c r="AH41" s="204" t="str">
        <f t="shared" si="0"/>
        <v/>
      </c>
      <c r="AI41" s="280"/>
    </row>
    <row r="42" spans="2:35" ht="24" customHeight="1">
      <c r="E42" s="512"/>
      <c r="AH42" s="204" t="str">
        <f t="shared" si="0"/>
        <v/>
      </c>
      <c r="AI42" s="280"/>
    </row>
    <row r="43" spans="2:35" ht="24" customHeight="1">
      <c r="E43" s="512"/>
      <c r="AH43" s="204" t="str">
        <f t="shared" si="0"/>
        <v/>
      </c>
      <c r="AI43" s="280"/>
    </row>
    <row r="44" spans="2:35" ht="24" customHeight="1">
      <c r="E44" s="512"/>
      <c r="AH44" s="204" t="str">
        <f t="shared" si="0"/>
        <v/>
      </c>
      <c r="AI44" s="280"/>
    </row>
    <row r="45" spans="2:35" ht="24" customHeight="1">
      <c r="E45" s="512"/>
      <c r="AH45" s="204" t="str">
        <f t="shared" si="0"/>
        <v/>
      </c>
      <c r="AI45" s="280"/>
    </row>
    <row r="46" spans="2:35" ht="24" customHeight="1">
      <c r="E46" s="512"/>
      <c r="AH46" s="204" t="str">
        <f t="shared" si="0"/>
        <v/>
      </c>
      <c r="AI46" s="280"/>
    </row>
    <row r="47" spans="2:35" ht="24" customHeight="1">
      <c r="E47" s="512"/>
      <c r="AH47" s="204" t="str">
        <f t="shared" si="0"/>
        <v/>
      </c>
      <c r="AI47" s="280"/>
    </row>
    <row r="48" spans="2:35" ht="24" customHeight="1">
      <c r="E48" s="512"/>
      <c r="AH48" s="204" t="str">
        <f t="shared" si="0"/>
        <v/>
      </c>
      <c r="AI48" s="280"/>
    </row>
    <row r="49" spans="5:35" ht="24" customHeight="1">
      <c r="E49" s="512"/>
      <c r="AH49" s="204" t="str">
        <f t="shared" si="0"/>
        <v/>
      </c>
      <c r="AI49" s="280"/>
    </row>
    <row r="50" spans="5:35" ht="24" customHeight="1">
      <c r="E50" s="512"/>
      <c r="AH50" s="204" t="str">
        <f t="shared" si="0"/>
        <v/>
      </c>
      <c r="AI50" s="280"/>
    </row>
    <row r="51" spans="5:35" ht="24" customHeight="1">
      <c r="E51" s="512"/>
      <c r="AH51" s="204" t="str">
        <f t="shared" si="0"/>
        <v/>
      </c>
      <c r="AI51" s="280"/>
    </row>
    <row r="52" spans="5:35" ht="24" customHeight="1">
      <c r="E52" s="512"/>
      <c r="AH52" s="204" t="str">
        <f t="shared" si="0"/>
        <v/>
      </c>
      <c r="AI52" s="280"/>
    </row>
    <row r="53" spans="5:35" ht="24" customHeight="1">
      <c r="E53" s="512"/>
      <c r="AH53" s="204" t="str">
        <f t="shared" si="0"/>
        <v/>
      </c>
      <c r="AI53" s="280"/>
    </row>
    <row r="54" spans="5:35" ht="24" customHeight="1">
      <c r="E54" s="512"/>
      <c r="AH54" s="204" t="str">
        <f t="shared" si="0"/>
        <v/>
      </c>
      <c r="AI54" s="280"/>
    </row>
    <row r="55" spans="5:35" ht="24" customHeight="1">
      <c r="E55" s="512"/>
      <c r="AH55" s="204" t="str">
        <f t="shared" si="0"/>
        <v/>
      </c>
      <c r="AI55" s="280"/>
    </row>
    <row r="56" spans="5:35" ht="24" customHeight="1">
      <c r="E56" s="512"/>
      <c r="AH56" s="204" t="str">
        <f t="shared" si="0"/>
        <v/>
      </c>
      <c r="AI56" s="280"/>
    </row>
    <row r="57" spans="5:35" ht="24" customHeight="1">
      <c r="E57" s="512"/>
      <c r="AH57" s="204" t="str">
        <f t="shared" si="0"/>
        <v/>
      </c>
      <c r="AI57" s="280"/>
    </row>
    <row r="58" spans="5:35" ht="24" customHeight="1">
      <c r="E58" s="512"/>
      <c r="AH58" s="204" t="str">
        <f t="shared" si="0"/>
        <v/>
      </c>
      <c r="AI58" s="280"/>
    </row>
    <row r="59" spans="5:35" ht="24" customHeight="1">
      <c r="E59" s="512"/>
      <c r="AH59" s="204" t="str">
        <f t="shared" si="0"/>
        <v/>
      </c>
      <c r="AI59" s="280"/>
    </row>
    <row r="60" spans="5:35" ht="24" customHeight="1">
      <c r="E60" s="512"/>
      <c r="AH60" s="204" t="str">
        <f t="shared" si="0"/>
        <v/>
      </c>
      <c r="AI60" s="280"/>
    </row>
    <row r="61" spans="5:35" ht="24" customHeight="1">
      <c r="E61" s="512"/>
      <c r="AH61" s="204" t="str">
        <f t="shared" si="0"/>
        <v/>
      </c>
      <c r="AI61" s="280"/>
    </row>
    <row r="62" spans="5:35" ht="24" customHeight="1">
      <c r="E62" s="512"/>
      <c r="AH62" s="204" t="str">
        <f t="shared" si="0"/>
        <v/>
      </c>
      <c r="AI62" s="280"/>
    </row>
    <row r="63" spans="5:35" ht="24" customHeight="1">
      <c r="E63" s="512"/>
      <c r="AH63" s="204" t="str">
        <f t="shared" si="0"/>
        <v/>
      </c>
      <c r="AI63" s="280"/>
    </row>
    <row r="64" spans="5:35" ht="24" customHeight="1">
      <c r="E64" s="512"/>
      <c r="AH64" s="204" t="str">
        <f t="shared" si="0"/>
        <v/>
      </c>
      <c r="AI64" s="280"/>
    </row>
    <row r="65" spans="5:35" ht="24" customHeight="1">
      <c r="E65" s="512"/>
      <c r="AH65" s="204" t="str">
        <f t="shared" si="0"/>
        <v/>
      </c>
      <c r="AI65" s="280"/>
    </row>
    <row r="66" spans="5:35" ht="24" customHeight="1">
      <c r="E66" s="512"/>
      <c r="AH66" s="204" t="str">
        <f t="shared" si="0"/>
        <v/>
      </c>
      <c r="AI66" s="280"/>
    </row>
    <row r="67" spans="5:35" ht="24" customHeight="1">
      <c r="E67" s="512"/>
      <c r="AH67" s="204" t="str">
        <f t="shared" si="0"/>
        <v/>
      </c>
      <c r="AI67" s="280"/>
    </row>
    <row r="68" spans="5:35" ht="24" customHeight="1">
      <c r="E68" s="512"/>
      <c r="AH68" s="204" t="str">
        <f t="shared" si="0"/>
        <v/>
      </c>
      <c r="AI68" s="280"/>
    </row>
    <row r="69" spans="5:35" ht="24" customHeight="1">
      <c r="E69" s="512"/>
      <c r="AH69" s="204" t="str">
        <f t="shared" si="0"/>
        <v/>
      </c>
      <c r="AI69" s="280"/>
    </row>
    <row r="70" spans="5:35" ht="24" customHeight="1">
      <c r="E70" s="512"/>
      <c r="AH70" s="204" t="str">
        <f t="shared" si="0"/>
        <v/>
      </c>
      <c r="AI70" s="280"/>
    </row>
    <row r="71" spans="5:35" ht="24" customHeight="1">
      <c r="E71" s="512"/>
      <c r="AH71" s="204" t="str">
        <f t="shared" ref="AH71:AH134" si="1">IF(B71="","",B71)</f>
        <v/>
      </c>
      <c r="AI71" s="280"/>
    </row>
    <row r="72" spans="5:35" ht="24" customHeight="1">
      <c r="E72" s="512"/>
      <c r="AH72" s="204" t="str">
        <f t="shared" si="1"/>
        <v/>
      </c>
      <c r="AI72" s="280"/>
    </row>
    <row r="73" spans="5:35" ht="24" customHeight="1">
      <c r="E73" s="512"/>
      <c r="AH73" s="204" t="str">
        <f t="shared" si="1"/>
        <v/>
      </c>
      <c r="AI73" s="280"/>
    </row>
    <row r="74" spans="5:35" ht="24" customHeight="1">
      <c r="E74" s="512"/>
      <c r="AH74" s="204" t="str">
        <f t="shared" si="1"/>
        <v/>
      </c>
      <c r="AI74" s="280"/>
    </row>
    <row r="75" spans="5:35" ht="24" customHeight="1">
      <c r="E75" s="512"/>
      <c r="AH75" s="204" t="str">
        <f t="shared" si="1"/>
        <v/>
      </c>
      <c r="AI75" s="280"/>
    </row>
    <row r="76" spans="5:35" ht="24" customHeight="1">
      <c r="E76" s="512"/>
      <c r="AH76" s="204" t="str">
        <f t="shared" si="1"/>
        <v/>
      </c>
      <c r="AI76" s="280"/>
    </row>
    <row r="77" spans="5:35" ht="24" customHeight="1">
      <c r="E77" s="512"/>
      <c r="AH77" s="204" t="str">
        <f t="shared" si="1"/>
        <v/>
      </c>
      <c r="AI77" s="280"/>
    </row>
    <row r="78" spans="5:35" ht="24" customHeight="1">
      <c r="E78" s="512"/>
      <c r="AH78" s="204" t="str">
        <f t="shared" si="1"/>
        <v/>
      </c>
      <c r="AI78" s="280"/>
    </row>
    <row r="79" spans="5:35" ht="24" customHeight="1">
      <c r="E79" s="512"/>
      <c r="AH79" s="204" t="str">
        <f t="shared" si="1"/>
        <v/>
      </c>
      <c r="AI79" s="280"/>
    </row>
    <row r="80" spans="5:35" ht="24" customHeight="1">
      <c r="E80" s="512"/>
      <c r="AH80" s="204" t="str">
        <f t="shared" si="1"/>
        <v/>
      </c>
      <c r="AI80" s="280"/>
    </row>
    <row r="81" spans="5:35" ht="24" customHeight="1">
      <c r="E81" s="512"/>
      <c r="AH81" s="204" t="str">
        <f t="shared" si="1"/>
        <v/>
      </c>
      <c r="AI81" s="280"/>
    </row>
    <row r="82" spans="5:35" ht="24" customHeight="1">
      <c r="E82" s="512"/>
      <c r="AH82" s="204" t="str">
        <f t="shared" si="1"/>
        <v/>
      </c>
      <c r="AI82" s="280"/>
    </row>
    <row r="83" spans="5:35" ht="24" customHeight="1">
      <c r="E83" s="512"/>
      <c r="AH83" s="204" t="str">
        <f t="shared" si="1"/>
        <v/>
      </c>
      <c r="AI83" s="280"/>
    </row>
    <row r="84" spans="5:35" ht="24" customHeight="1">
      <c r="E84" s="512"/>
      <c r="AH84" s="204" t="str">
        <f t="shared" si="1"/>
        <v/>
      </c>
      <c r="AI84" s="280"/>
    </row>
    <row r="85" spans="5:35" ht="24" customHeight="1">
      <c r="E85" s="512"/>
      <c r="AH85" s="204" t="str">
        <f t="shared" si="1"/>
        <v/>
      </c>
      <c r="AI85" s="280"/>
    </row>
    <row r="86" spans="5:35" ht="24" customHeight="1">
      <c r="E86" s="512"/>
      <c r="AH86" s="204" t="str">
        <f t="shared" si="1"/>
        <v/>
      </c>
      <c r="AI86" s="280"/>
    </row>
    <row r="87" spans="5:35" ht="24" customHeight="1">
      <c r="E87" s="512"/>
      <c r="AH87" s="204" t="str">
        <f t="shared" si="1"/>
        <v/>
      </c>
      <c r="AI87" s="280"/>
    </row>
    <row r="88" spans="5:35" ht="24" customHeight="1">
      <c r="E88" s="512"/>
      <c r="AH88" s="204" t="str">
        <f t="shared" si="1"/>
        <v/>
      </c>
      <c r="AI88" s="280"/>
    </row>
    <row r="89" spans="5:35" ht="24" customHeight="1">
      <c r="E89" s="512"/>
      <c r="AH89" s="204" t="str">
        <f t="shared" si="1"/>
        <v/>
      </c>
      <c r="AI89" s="280"/>
    </row>
    <row r="90" spans="5:35" ht="24" customHeight="1">
      <c r="E90" s="512"/>
      <c r="AH90" s="204" t="str">
        <f t="shared" si="1"/>
        <v/>
      </c>
      <c r="AI90" s="280"/>
    </row>
    <row r="91" spans="5:35" ht="24" customHeight="1">
      <c r="E91" s="512"/>
      <c r="AH91" s="204" t="str">
        <f t="shared" si="1"/>
        <v/>
      </c>
      <c r="AI91" s="280"/>
    </row>
    <row r="92" spans="5:35" ht="24" customHeight="1">
      <c r="E92" s="512"/>
      <c r="AH92" s="204" t="str">
        <f t="shared" si="1"/>
        <v/>
      </c>
      <c r="AI92" s="280"/>
    </row>
    <row r="93" spans="5:35" ht="24" customHeight="1">
      <c r="E93" s="512"/>
      <c r="AH93" s="204" t="str">
        <f t="shared" si="1"/>
        <v/>
      </c>
      <c r="AI93" s="280"/>
    </row>
    <row r="94" spans="5:35" ht="24" customHeight="1">
      <c r="E94" s="512"/>
      <c r="AH94" s="204" t="str">
        <f t="shared" si="1"/>
        <v/>
      </c>
      <c r="AI94" s="280"/>
    </row>
    <row r="95" spans="5:35" ht="24" customHeight="1">
      <c r="E95" s="512"/>
      <c r="AH95" s="204" t="str">
        <f t="shared" si="1"/>
        <v/>
      </c>
      <c r="AI95" s="280"/>
    </row>
    <row r="96" spans="5:35" ht="24" customHeight="1">
      <c r="E96" s="512"/>
      <c r="AH96" s="204" t="str">
        <f t="shared" si="1"/>
        <v/>
      </c>
      <c r="AI96" s="280"/>
    </row>
    <row r="97" spans="5:35" ht="24" customHeight="1">
      <c r="E97" s="512"/>
      <c r="AH97" s="204" t="str">
        <f t="shared" si="1"/>
        <v/>
      </c>
      <c r="AI97" s="280"/>
    </row>
    <row r="98" spans="5:35" ht="24" customHeight="1">
      <c r="E98" s="512"/>
      <c r="AH98" s="204" t="str">
        <f t="shared" si="1"/>
        <v/>
      </c>
      <c r="AI98" s="280"/>
    </row>
    <row r="99" spans="5:35" ht="24" customHeight="1">
      <c r="E99" s="512"/>
      <c r="AH99" s="204" t="str">
        <f t="shared" si="1"/>
        <v/>
      </c>
      <c r="AI99" s="280"/>
    </row>
    <row r="100" spans="5:35" ht="24" customHeight="1">
      <c r="E100" s="512"/>
      <c r="AH100" s="204" t="str">
        <f t="shared" si="1"/>
        <v/>
      </c>
      <c r="AI100" s="280"/>
    </row>
    <row r="101" spans="5:35" ht="24" customHeight="1">
      <c r="E101" s="512"/>
      <c r="AH101" s="204" t="str">
        <f t="shared" si="1"/>
        <v/>
      </c>
      <c r="AI101" s="280"/>
    </row>
    <row r="102" spans="5:35" ht="24" customHeight="1">
      <c r="E102" s="512"/>
      <c r="AH102" s="204" t="str">
        <f t="shared" si="1"/>
        <v/>
      </c>
      <c r="AI102" s="280"/>
    </row>
    <row r="103" spans="5:35" ht="24" customHeight="1">
      <c r="E103" s="512"/>
      <c r="AH103" s="204" t="str">
        <f t="shared" si="1"/>
        <v/>
      </c>
      <c r="AI103" s="280"/>
    </row>
    <row r="104" spans="5:35" ht="24" customHeight="1">
      <c r="E104" s="512"/>
      <c r="AH104" s="204" t="str">
        <f t="shared" si="1"/>
        <v/>
      </c>
      <c r="AI104" s="280"/>
    </row>
    <row r="105" spans="5:35" ht="24" customHeight="1">
      <c r="E105" s="512"/>
      <c r="AH105" s="204" t="str">
        <f t="shared" si="1"/>
        <v/>
      </c>
      <c r="AI105" s="280"/>
    </row>
    <row r="106" spans="5:35" ht="24" customHeight="1">
      <c r="E106" s="512"/>
      <c r="AH106" s="204" t="str">
        <f t="shared" si="1"/>
        <v/>
      </c>
      <c r="AI106" s="280"/>
    </row>
    <row r="107" spans="5:35" ht="24" customHeight="1">
      <c r="E107" s="512"/>
      <c r="AH107" s="204" t="str">
        <f t="shared" si="1"/>
        <v/>
      </c>
      <c r="AI107" s="280"/>
    </row>
    <row r="108" spans="5:35" ht="24" customHeight="1">
      <c r="E108" s="512"/>
      <c r="AH108" s="204" t="str">
        <f t="shared" si="1"/>
        <v/>
      </c>
      <c r="AI108" s="280"/>
    </row>
    <row r="109" spans="5:35" ht="24" customHeight="1">
      <c r="E109" s="512"/>
      <c r="AH109" s="204" t="str">
        <f t="shared" si="1"/>
        <v/>
      </c>
      <c r="AI109" s="280"/>
    </row>
    <row r="110" spans="5:35" ht="24" customHeight="1">
      <c r="E110" s="512"/>
      <c r="AH110" s="204" t="str">
        <f t="shared" si="1"/>
        <v/>
      </c>
      <c r="AI110" s="280"/>
    </row>
    <row r="111" spans="5:35" ht="24" customHeight="1">
      <c r="E111" s="512"/>
      <c r="AH111" s="204" t="str">
        <f t="shared" si="1"/>
        <v/>
      </c>
      <c r="AI111" s="280"/>
    </row>
    <row r="112" spans="5:35" ht="24" customHeight="1">
      <c r="E112" s="512"/>
      <c r="AH112" s="204" t="str">
        <f t="shared" si="1"/>
        <v/>
      </c>
      <c r="AI112" s="280"/>
    </row>
    <row r="113" spans="5:35" ht="24" customHeight="1">
      <c r="E113" s="512"/>
      <c r="AH113" s="204" t="str">
        <f t="shared" si="1"/>
        <v/>
      </c>
      <c r="AI113" s="280"/>
    </row>
    <row r="114" spans="5:35" ht="24" customHeight="1">
      <c r="E114" s="512"/>
      <c r="AH114" s="204" t="str">
        <f t="shared" si="1"/>
        <v/>
      </c>
      <c r="AI114" s="280"/>
    </row>
    <row r="115" spans="5:35" ht="24" customHeight="1">
      <c r="E115" s="512"/>
      <c r="AH115" s="204" t="str">
        <f t="shared" si="1"/>
        <v/>
      </c>
      <c r="AI115" s="280"/>
    </row>
    <row r="116" spans="5:35" ht="24" customHeight="1">
      <c r="E116" s="512"/>
      <c r="AH116" s="204" t="str">
        <f t="shared" si="1"/>
        <v/>
      </c>
      <c r="AI116" s="280"/>
    </row>
    <row r="117" spans="5:35" ht="24" customHeight="1">
      <c r="E117" s="512"/>
      <c r="AH117" s="204" t="str">
        <f t="shared" si="1"/>
        <v/>
      </c>
      <c r="AI117" s="280"/>
    </row>
    <row r="118" spans="5:35" ht="24" customHeight="1">
      <c r="E118" s="512"/>
      <c r="AH118" s="204" t="str">
        <f t="shared" si="1"/>
        <v/>
      </c>
      <c r="AI118" s="280"/>
    </row>
    <row r="119" spans="5:35" ht="24" customHeight="1">
      <c r="E119" s="512"/>
      <c r="AH119" s="204" t="str">
        <f t="shared" si="1"/>
        <v/>
      </c>
      <c r="AI119" s="280"/>
    </row>
    <row r="120" spans="5:35" ht="24" customHeight="1">
      <c r="E120" s="512"/>
      <c r="AH120" s="204" t="str">
        <f t="shared" si="1"/>
        <v/>
      </c>
      <c r="AI120" s="280"/>
    </row>
    <row r="121" spans="5:35" ht="24" customHeight="1">
      <c r="E121" s="512"/>
      <c r="AH121" s="204" t="str">
        <f t="shared" si="1"/>
        <v/>
      </c>
      <c r="AI121" s="280"/>
    </row>
    <row r="122" spans="5:35" ht="24" customHeight="1">
      <c r="E122" s="512"/>
      <c r="AH122" s="204" t="str">
        <f t="shared" si="1"/>
        <v/>
      </c>
      <c r="AI122" s="280"/>
    </row>
    <row r="123" spans="5:35" ht="24" customHeight="1">
      <c r="E123" s="512"/>
      <c r="AH123" s="204" t="str">
        <f t="shared" si="1"/>
        <v/>
      </c>
      <c r="AI123" s="280"/>
    </row>
    <row r="124" spans="5:35" ht="24" customHeight="1">
      <c r="E124" s="512"/>
      <c r="AH124" s="204" t="str">
        <f t="shared" si="1"/>
        <v/>
      </c>
      <c r="AI124" s="280"/>
    </row>
    <row r="125" spans="5:35" ht="24" customHeight="1">
      <c r="E125" s="512"/>
      <c r="AH125" s="204" t="str">
        <f t="shared" si="1"/>
        <v/>
      </c>
      <c r="AI125" s="280"/>
    </row>
    <row r="126" spans="5:35" ht="24" customHeight="1">
      <c r="E126" s="512"/>
      <c r="AH126" s="204" t="str">
        <f t="shared" si="1"/>
        <v/>
      </c>
      <c r="AI126" s="280"/>
    </row>
    <row r="127" spans="5:35" ht="24" customHeight="1">
      <c r="E127" s="512"/>
      <c r="AH127" s="204" t="str">
        <f t="shared" si="1"/>
        <v/>
      </c>
      <c r="AI127" s="280"/>
    </row>
    <row r="128" spans="5:35" ht="24" customHeight="1">
      <c r="E128" s="512"/>
      <c r="AH128" s="204" t="str">
        <f t="shared" si="1"/>
        <v/>
      </c>
      <c r="AI128" s="280"/>
    </row>
    <row r="129" spans="5:35" ht="24" customHeight="1">
      <c r="E129" s="512"/>
      <c r="AH129" s="204" t="str">
        <f t="shared" si="1"/>
        <v/>
      </c>
      <c r="AI129" s="280"/>
    </row>
    <row r="130" spans="5:35" ht="24" customHeight="1">
      <c r="E130" s="512"/>
      <c r="AH130" s="204" t="str">
        <f t="shared" si="1"/>
        <v/>
      </c>
      <c r="AI130" s="280"/>
    </row>
    <row r="131" spans="5:35" ht="24" customHeight="1">
      <c r="E131" s="512"/>
      <c r="AH131" s="204" t="str">
        <f t="shared" si="1"/>
        <v/>
      </c>
      <c r="AI131" s="280"/>
    </row>
    <row r="132" spans="5:35" ht="24" customHeight="1">
      <c r="E132" s="512"/>
      <c r="AH132" s="204" t="str">
        <f t="shared" si="1"/>
        <v/>
      </c>
      <c r="AI132" s="280"/>
    </row>
    <row r="133" spans="5:35" ht="24" customHeight="1">
      <c r="E133" s="512"/>
      <c r="AH133" s="204" t="str">
        <f t="shared" si="1"/>
        <v/>
      </c>
      <c r="AI133" s="280"/>
    </row>
    <row r="134" spans="5:35" ht="24" customHeight="1">
      <c r="E134" s="512"/>
      <c r="AH134" s="204" t="str">
        <f t="shared" si="1"/>
        <v/>
      </c>
      <c r="AI134" s="280"/>
    </row>
    <row r="135" spans="5:35" ht="24" customHeight="1">
      <c r="E135" s="512"/>
      <c r="AH135" s="204" t="str">
        <f t="shared" ref="AH135:AH198" si="2">IF(B135="","",B135)</f>
        <v/>
      </c>
      <c r="AI135" s="280"/>
    </row>
    <row r="136" spans="5:35" ht="24" customHeight="1">
      <c r="E136" s="512"/>
      <c r="AH136" s="204" t="str">
        <f t="shared" si="2"/>
        <v/>
      </c>
      <c r="AI136" s="280"/>
    </row>
    <row r="137" spans="5:35" ht="24" customHeight="1">
      <c r="E137" s="512"/>
      <c r="AH137" s="204" t="str">
        <f t="shared" si="2"/>
        <v/>
      </c>
      <c r="AI137" s="280"/>
    </row>
    <row r="138" spans="5:35" ht="24" customHeight="1">
      <c r="E138" s="512"/>
      <c r="AH138" s="204" t="str">
        <f t="shared" si="2"/>
        <v/>
      </c>
      <c r="AI138" s="280"/>
    </row>
    <row r="139" spans="5:35" ht="24" customHeight="1">
      <c r="E139" s="512"/>
      <c r="AH139" s="204" t="str">
        <f t="shared" si="2"/>
        <v/>
      </c>
      <c r="AI139" s="280"/>
    </row>
    <row r="140" spans="5:35" ht="24" customHeight="1">
      <c r="E140" s="512"/>
      <c r="AH140" s="204" t="str">
        <f t="shared" si="2"/>
        <v/>
      </c>
      <c r="AI140" s="280"/>
    </row>
    <row r="141" spans="5:35" ht="24" customHeight="1">
      <c r="E141" s="512"/>
      <c r="AH141" s="204" t="str">
        <f t="shared" si="2"/>
        <v/>
      </c>
      <c r="AI141" s="280"/>
    </row>
    <row r="142" spans="5:35" ht="24" customHeight="1">
      <c r="E142" s="512"/>
      <c r="AH142" s="204" t="str">
        <f t="shared" si="2"/>
        <v/>
      </c>
      <c r="AI142" s="280"/>
    </row>
    <row r="143" spans="5:35" ht="24" customHeight="1">
      <c r="E143" s="512"/>
      <c r="AH143" s="204" t="str">
        <f t="shared" si="2"/>
        <v/>
      </c>
      <c r="AI143" s="280"/>
    </row>
    <row r="144" spans="5:35" ht="24" customHeight="1">
      <c r="E144" s="512"/>
      <c r="AH144" s="204" t="str">
        <f t="shared" si="2"/>
        <v/>
      </c>
      <c r="AI144" s="280"/>
    </row>
    <row r="145" spans="5:35" ht="24" customHeight="1">
      <c r="E145" s="512"/>
      <c r="AH145" s="204" t="str">
        <f t="shared" si="2"/>
        <v/>
      </c>
      <c r="AI145" s="280"/>
    </row>
    <row r="146" spans="5:35" ht="24" customHeight="1">
      <c r="E146" s="512"/>
      <c r="AH146" s="204" t="str">
        <f t="shared" si="2"/>
        <v/>
      </c>
      <c r="AI146" s="280"/>
    </row>
    <row r="147" spans="5:35" ht="24" customHeight="1">
      <c r="E147" s="512"/>
      <c r="AH147" s="204" t="str">
        <f t="shared" si="2"/>
        <v/>
      </c>
      <c r="AI147" s="280"/>
    </row>
    <row r="148" spans="5:35" ht="24" customHeight="1">
      <c r="E148" s="512"/>
      <c r="AH148" s="204" t="str">
        <f t="shared" si="2"/>
        <v/>
      </c>
      <c r="AI148" s="280"/>
    </row>
    <row r="149" spans="5:35" ht="24" customHeight="1">
      <c r="E149" s="512"/>
      <c r="AH149" s="204" t="str">
        <f t="shared" si="2"/>
        <v/>
      </c>
      <c r="AI149" s="280"/>
    </row>
    <row r="150" spans="5:35" ht="24" customHeight="1">
      <c r="E150" s="512"/>
      <c r="AH150" s="204" t="str">
        <f t="shared" si="2"/>
        <v/>
      </c>
      <c r="AI150" s="280"/>
    </row>
    <row r="151" spans="5:35" ht="24" customHeight="1">
      <c r="E151" s="512"/>
      <c r="AH151" s="204" t="str">
        <f t="shared" si="2"/>
        <v/>
      </c>
      <c r="AI151" s="280"/>
    </row>
    <row r="152" spans="5:35" ht="24" customHeight="1">
      <c r="E152" s="512"/>
      <c r="AH152" s="204" t="str">
        <f t="shared" si="2"/>
        <v/>
      </c>
      <c r="AI152" s="280"/>
    </row>
    <row r="153" spans="5:35" ht="24" customHeight="1">
      <c r="E153" s="512"/>
      <c r="AH153" s="204" t="str">
        <f t="shared" si="2"/>
        <v/>
      </c>
      <c r="AI153" s="280"/>
    </row>
    <row r="154" spans="5:35" ht="24" customHeight="1">
      <c r="E154" s="512"/>
      <c r="AH154" s="204" t="str">
        <f t="shared" si="2"/>
        <v/>
      </c>
      <c r="AI154" s="280"/>
    </row>
    <row r="155" spans="5:35" ht="24" customHeight="1">
      <c r="E155" s="512"/>
      <c r="AH155" s="204" t="str">
        <f t="shared" si="2"/>
        <v/>
      </c>
      <c r="AI155" s="280"/>
    </row>
    <row r="156" spans="5:35" ht="24" customHeight="1">
      <c r="E156" s="512"/>
      <c r="AH156" s="204" t="str">
        <f t="shared" si="2"/>
        <v/>
      </c>
      <c r="AI156" s="280"/>
    </row>
    <row r="157" spans="5:35" ht="24" customHeight="1">
      <c r="E157" s="512"/>
      <c r="AH157" s="204" t="str">
        <f t="shared" si="2"/>
        <v/>
      </c>
      <c r="AI157" s="280"/>
    </row>
    <row r="158" spans="5:35" ht="24" customHeight="1">
      <c r="E158" s="512"/>
      <c r="AH158" s="204" t="str">
        <f t="shared" si="2"/>
        <v/>
      </c>
      <c r="AI158" s="280"/>
    </row>
    <row r="159" spans="5:35" ht="24" customHeight="1">
      <c r="E159" s="512"/>
      <c r="AH159" s="204" t="str">
        <f t="shared" si="2"/>
        <v/>
      </c>
      <c r="AI159" s="280"/>
    </row>
    <row r="160" spans="5:35" ht="24" customHeight="1">
      <c r="E160" s="512"/>
      <c r="AH160" s="204" t="str">
        <f t="shared" si="2"/>
        <v/>
      </c>
      <c r="AI160" s="280"/>
    </row>
    <row r="161" spans="5:35" ht="24" customHeight="1">
      <c r="E161" s="512"/>
      <c r="AH161" s="204" t="str">
        <f t="shared" si="2"/>
        <v/>
      </c>
      <c r="AI161" s="280"/>
    </row>
    <row r="162" spans="5:35" ht="24" customHeight="1">
      <c r="E162" s="512"/>
      <c r="AH162" s="204" t="str">
        <f t="shared" si="2"/>
        <v/>
      </c>
      <c r="AI162" s="280"/>
    </row>
    <row r="163" spans="5:35" ht="24" customHeight="1">
      <c r="E163" s="512"/>
      <c r="AH163" s="204" t="str">
        <f t="shared" si="2"/>
        <v/>
      </c>
      <c r="AI163" s="280"/>
    </row>
    <row r="164" spans="5:35" ht="24" customHeight="1">
      <c r="E164" s="512"/>
      <c r="AH164" s="204" t="str">
        <f t="shared" si="2"/>
        <v/>
      </c>
      <c r="AI164" s="280"/>
    </row>
    <row r="165" spans="5:35" ht="24" customHeight="1">
      <c r="E165" s="512"/>
      <c r="AH165" s="204" t="str">
        <f t="shared" si="2"/>
        <v/>
      </c>
      <c r="AI165" s="280"/>
    </row>
    <row r="166" spans="5:35" ht="24" customHeight="1">
      <c r="E166" s="512"/>
      <c r="AH166" s="204" t="str">
        <f t="shared" si="2"/>
        <v/>
      </c>
      <c r="AI166" s="280"/>
    </row>
    <row r="167" spans="5:35" ht="24" customHeight="1">
      <c r="E167" s="512"/>
      <c r="AH167" s="204" t="str">
        <f t="shared" si="2"/>
        <v/>
      </c>
      <c r="AI167" s="280"/>
    </row>
    <row r="168" spans="5:35" ht="24" customHeight="1">
      <c r="E168" s="512"/>
      <c r="AH168" s="204" t="str">
        <f t="shared" si="2"/>
        <v/>
      </c>
      <c r="AI168" s="280"/>
    </row>
    <row r="169" spans="5:35" ht="24" customHeight="1">
      <c r="E169" s="512"/>
      <c r="AH169" s="204" t="str">
        <f t="shared" si="2"/>
        <v/>
      </c>
      <c r="AI169" s="280"/>
    </row>
    <row r="170" spans="5:35" ht="24" customHeight="1">
      <c r="E170" s="512"/>
      <c r="AH170" s="204" t="str">
        <f t="shared" si="2"/>
        <v/>
      </c>
      <c r="AI170" s="280"/>
    </row>
    <row r="171" spans="5:35" ht="24" customHeight="1">
      <c r="E171" s="512"/>
      <c r="AH171" s="204" t="str">
        <f t="shared" si="2"/>
        <v/>
      </c>
      <c r="AI171" s="280"/>
    </row>
    <row r="172" spans="5:35" ht="24" customHeight="1">
      <c r="E172" s="512"/>
      <c r="AH172" s="204" t="str">
        <f t="shared" si="2"/>
        <v/>
      </c>
      <c r="AI172" s="280"/>
    </row>
    <row r="173" spans="5:35" ht="24" customHeight="1">
      <c r="E173" s="512"/>
      <c r="AH173" s="204" t="str">
        <f t="shared" si="2"/>
        <v/>
      </c>
      <c r="AI173" s="280"/>
    </row>
    <row r="174" spans="5:35" ht="24" customHeight="1">
      <c r="E174" s="512"/>
      <c r="AH174" s="204" t="str">
        <f t="shared" si="2"/>
        <v/>
      </c>
      <c r="AI174" s="280"/>
    </row>
    <row r="175" spans="5:35" ht="24" customHeight="1">
      <c r="E175" s="512"/>
      <c r="AH175" s="204" t="str">
        <f t="shared" si="2"/>
        <v/>
      </c>
      <c r="AI175" s="280"/>
    </row>
    <row r="176" spans="5:35" ht="24" customHeight="1">
      <c r="E176" s="512"/>
      <c r="AH176" s="204" t="str">
        <f t="shared" si="2"/>
        <v/>
      </c>
      <c r="AI176" s="280"/>
    </row>
    <row r="177" spans="5:35" ht="24" customHeight="1">
      <c r="E177" s="512"/>
      <c r="AH177" s="204" t="str">
        <f t="shared" si="2"/>
        <v/>
      </c>
      <c r="AI177" s="280"/>
    </row>
    <row r="178" spans="5:35" ht="24" customHeight="1">
      <c r="E178" s="512"/>
      <c r="AH178" s="204" t="str">
        <f t="shared" si="2"/>
        <v/>
      </c>
      <c r="AI178" s="280"/>
    </row>
    <row r="179" spans="5:35" ht="24" customHeight="1">
      <c r="E179" s="512"/>
      <c r="AH179" s="204" t="str">
        <f t="shared" si="2"/>
        <v/>
      </c>
      <c r="AI179" s="280"/>
    </row>
    <row r="180" spans="5:35" ht="24" customHeight="1">
      <c r="E180" s="512"/>
      <c r="AH180" s="204" t="str">
        <f t="shared" si="2"/>
        <v/>
      </c>
      <c r="AI180" s="280"/>
    </row>
    <row r="181" spans="5:35" ht="24" customHeight="1">
      <c r="E181" s="512"/>
      <c r="AH181" s="204" t="str">
        <f t="shared" si="2"/>
        <v/>
      </c>
      <c r="AI181" s="280"/>
    </row>
    <row r="182" spans="5:35" ht="24" customHeight="1">
      <c r="E182" s="512"/>
      <c r="AH182" s="204" t="str">
        <f t="shared" si="2"/>
        <v/>
      </c>
      <c r="AI182" s="280"/>
    </row>
    <row r="183" spans="5:35" ht="24" customHeight="1">
      <c r="E183" s="512"/>
      <c r="AH183" s="204" t="str">
        <f t="shared" si="2"/>
        <v/>
      </c>
      <c r="AI183" s="280"/>
    </row>
    <row r="184" spans="5:35" ht="24" customHeight="1">
      <c r="E184" s="512"/>
      <c r="AH184" s="204" t="str">
        <f t="shared" si="2"/>
        <v/>
      </c>
      <c r="AI184" s="280"/>
    </row>
    <row r="185" spans="5:35" ht="24" customHeight="1">
      <c r="E185" s="512"/>
      <c r="AH185" s="204" t="str">
        <f t="shared" si="2"/>
        <v/>
      </c>
      <c r="AI185" s="280"/>
    </row>
    <row r="186" spans="5:35" ht="24" customHeight="1">
      <c r="E186" s="512"/>
      <c r="AH186" s="204" t="str">
        <f t="shared" si="2"/>
        <v/>
      </c>
      <c r="AI186" s="280"/>
    </row>
    <row r="187" spans="5:35" ht="24" customHeight="1">
      <c r="E187" s="512"/>
      <c r="AH187" s="204" t="str">
        <f t="shared" si="2"/>
        <v/>
      </c>
      <c r="AI187" s="280"/>
    </row>
    <row r="188" spans="5:35" ht="24" customHeight="1">
      <c r="E188" s="512"/>
      <c r="AH188" s="204" t="str">
        <f t="shared" si="2"/>
        <v/>
      </c>
      <c r="AI188" s="280"/>
    </row>
    <row r="189" spans="5:35" ht="24" customHeight="1">
      <c r="E189" s="512"/>
      <c r="AH189" s="204" t="str">
        <f t="shared" si="2"/>
        <v/>
      </c>
      <c r="AI189" s="280"/>
    </row>
    <row r="190" spans="5:35" ht="24" customHeight="1">
      <c r="E190" s="512"/>
      <c r="AH190" s="204" t="str">
        <f t="shared" si="2"/>
        <v/>
      </c>
      <c r="AI190" s="280"/>
    </row>
    <row r="191" spans="5:35" ht="24" customHeight="1">
      <c r="E191" s="512"/>
      <c r="AH191" s="204" t="str">
        <f t="shared" si="2"/>
        <v/>
      </c>
      <c r="AI191" s="280"/>
    </row>
    <row r="192" spans="5:35" ht="24" customHeight="1">
      <c r="E192" s="512"/>
      <c r="AH192" s="204" t="str">
        <f t="shared" si="2"/>
        <v/>
      </c>
      <c r="AI192" s="280"/>
    </row>
    <row r="193" spans="5:35" ht="24" customHeight="1">
      <c r="E193" s="512"/>
      <c r="AH193" s="204" t="str">
        <f t="shared" si="2"/>
        <v/>
      </c>
      <c r="AI193" s="280"/>
    </row>
    <row r="194" spans="5:35" ht="24" customHeight="1">
      <c r="E194" s="512"/>
      <c r="AH194" s="204" t="str">
        <f t="shared" si="2"/>
        <v/>
      </c>
      <c r="AI194" s="280"/>
    </row>
    <row r="195" spans="5:35" ht="24" customHeight="1">
      <c r="E195" s="512"/>
      <c r="AH195" s="204" t="str">
        <f t="shared" si="2"/>
        <v/>
      </c>
      <c r="AI195" s="280"/>
    </row>
    <row r="196" spans="5:35" ht="24" customHeight="1">
      <c r="E196" s="512"/>
      <c r="AH196" s="204" t="str">
        <f t="shared" si="2"/>
        <v/>
      </c>
      <c r="AI196" s="280"/>
    </row>
    <row r="197" spans="5:35" ht="24" customHeight="1">
      <c r="E197" s="512"/>
      <c r="AH197" s="204" t="str">
        <f t="shared" si="2"/>
        <v/>
      </c>
      <c r="AI197" s="280"/>
    </row>
    <row r="198" spans="5:35" ht="24" customHeight="1">
      <c r="E198" s="512"/>
      <c r="AH198" s="204" t="str">
        <f t="shared" si="2"/>
        <v/>
      </c>
      <c r="AI198" s="280"/>
    </row>
    <row r="199" spans="5:35" ht="24" customHeight="1">
      <c r="E199" s="512"/>
      <c r="AH199" s="204" t="str">
        <f t="shared" ref="AH199:AH262" si="3">IF(B199="","",B199)</f>
        <v/>
      </c>
      <c r="AI199" s="280"/>
    </row>
    <row r="200" spans="5:35" ht="24" customHeight="1">
      <c r="E200" s="512"/>
      <c r="AH200" s="204" t="str">
        <f t="shared" si="3"/>
        <v/>
      </c>
      <c r="AI200" s="280"/>
    </row>
    <row r="201" spans="5:35" ht="24" customHeight="1">
      <c r="E201" s="512"/>
      <c r="AH201" s="204" t="str">
        <f t="shared" si="3"/>
        <v/>
      </c>
      <c r="AI201" s="280"/>
    </row>
    <row r="202" spans="5:35" ht="24" customHeight="1">
      <c r="E202" s="512"/>
      <c r="AH202" s="204" t="str">
        <f t="shared" si="3"/>
        <v/>
      </c>
      <c r="AI202" s="280"/>
    </row>
    <row r="203" spans="5:35" ht="24" customHeight="1">
      <c r="E203" s="512"/>
      <c r="AH203" s="204" t="str">
        <f t="shared" si="3"/>
        <v/>
      </c>
      <c r="AI203" s="280"/>
    </row>
    <row r="204" spans="5:35" ht="24" customHeight="1">
      <c r="E204" s="512"/>
      <c r="AH204" s="204" t="str">
        <f t="shared" si="3"/>
        <v/>
      </c>
      <c r="AI204" s="280"/>
    </row>
    <row r="205" spans="5:35" ht="24" customHeight="1">
      <c r="E205" s="512"/>
      <c r="AH205" s="204" t="str">
        <f t="shared" si="3"/>
        <v/>
      </c>
      <c r="AI205" s="280"/>
    </row>
    <row r="206" spans="5:35" ht="24" customHeight="1">
      <c r="E206" s="512"/>
      <c r="AH206" s="204" t="str">
        <f t="shared" si="3"/>
        <v/>
      </c>
      <c r="AI206" s="280"/>
    </row>
    <row r="207" spans="5:35" ht="24" customHeight="1">
      <c r="E207" s="512"/>
      <c r="AH207" s="204" t="str">
        <f t="shared" si="3"/>
        <v/>
      </c>
      <c r="AI207" s="280"/>
    </row>
    <row r="208" spans="5:35" ht="24" customHeight="1">
      <c r="E208" s="512"/>
      <c r="AH208" s="204" t="str">
        <f t="shared" si="3"/>
        <v/>
      </c>
      <c r="AI208" s="280"/>
    </row>
    <row r="209" spans="5:35" ht="24" customHeight="1">
      <c r="E209" s="512"/>
      <c r="AH209" s="204" t="str">
        <f t="shared" si="3"/>
        <v/>
      </c>
      <c r="AI209" s="280"/>
    </row>
    <row r="210" spans="5:35" ht="24" customHeight="1">
      <c r="E210" s="512"/>
      <c r="AH210" s="204" t="str">
        <f t="shared" si="3"/>
        <v/>
      </c>
      <c r="AI210" s="280"/>
    </row>
    <row r="211" spans="5:35" ht="24" customHeight="1">
      <c r="E211" s="512"/>
      <c r="AH211" s="204" t="str">
        <f t="shared" si="3"/>
        <v/>
      </c>
      <c r="AI211" s="280"/>
    </row>
    <row r="212" spans="5:35" ht="24" customHeight="1">
      <c r="E212" s="512"/>
      <c r="AH212" s="204" t="str">
        <f t="shared" si="3"/>
        <v/>
      </c>
      <c r="AI212" s="280"/>
    </row>
    <row r="213" spans="5:35" ht="24" customHeight="1">
      <c r="E213" s="512"/>
      <c r="AH213" s="204" t="str">
        <f t="shared" si="3"/>
        <v/>
      </c>
      <c r="AI213" s="280"/>
    </row>
    <row r="214" spans="5:35" ht="24" customHeight="1">
      <c r="E214" s="512"/>
      <c r="AH214" s="204" t="str">
        <f t="shared" si="3"/>
        <v/>
      </c>
      <c r="AI214" s="280"/>
    </row>
    <row r="215" spans="5:35" ht="24" customHeight="1">
      <c r="E215" s="512"/>
      <c r="AH215" s="204" t="str">
        <f t="shared" si="3"/>
        <v/>
      </c>
      <c r="AI215" s="280"/>
    </row>
    <row r="216" spans="5:35" ht="24" customHeight="1">
      <c r="E216" s="512"/>
      <c r="AH216" s="204" t="str">
        <f t="shared" si="3"/>
        <v/>
      </c>
      <c r="AI216" s="280"/>
    </row>
    <row r="217" spans="5:35" ht="24" customHeight="1">
      <c r="E217" s="512"/>
      <c r="AH217" s="204" t="str">
        <f t="shared" si="3"/>
        <v/>
      </c>
      <c r="AI217" s="280"/>
    </row>
    <row r="218" spans="5:35" ht="24" customHeight="1">
      <c r="E218" s="512"/>
      <c r="AH218" s="204" t="str">
        <f t="shared" si="3"/>
        <v/>
      </c>
      <c r="AI218" s="280"/>
    </row>
    <row r="219" spans="5:35" ht="24" customHeight="1">
      <c r="E219" s="512"/>
      <c r="AH219" s="204" t="str">
        <f t="shared" si="3"/>
        <v/>
      </c>
      <c r="AI219" s="280"/>
    </row>
    <row r="220" spans="5:35" ht="24" customHeight="1">
      <c r="E220" s="512"/>
      <c r="AH220" s="204" t="str">
        <f t="shared" si="3"/>
        <v/>
      </c>
      <c r="AI220" s="280"/>
    </row>
    <row r="221" spans="5:35" ht="24" customHeight="1">
      <c r="E221" s="512"/>
      <c r="AH221" s="204" t="str">
        <f t="shared" si="3"/>
        <v/>
      </c>
      <c r="AI221" s="280"/>
    </row>
    <row r="222" spans="5:35" ht="18" customHeight="1">
      <c r="E222" s="512"/>
      <c r="AH222" s="204" t="str">
        <f t="shared" si="3"/>
        <v/>
      </c>
      <c r="AI222" s="280"/>
    </row>
    <row r="223" spans="5:35" ht="24" customHeight="1">
      <c r="E223" s="512"/>
      <c r="F223" s="1005"/>
      <c r="G223" s="1005"/>
      <c r="H223" s="1005"/>
      <c r="I223" s="1005"/>
      <c r="J223" s="1005"/>
      <c r="K223" s="1005"/>
      <c r="AH223" s="204" t="str">
        <f t="shared" si="3"/>
        <v/>
      </c>
      <c r="AI223" s="280"/>
    </row>
    <row r="224" spans="5:35" ht="24" customHeight="1">
      <c r="E224" s="512"/>
      <c r="AH224" s="204" t="str">
        <f t="shared" si="3"/>
        <v/>
      </c>
      <c r="AI224" s="280"/>
    </row>
    <row r="225" spans="5:35" ht="24" customHeight="1">
      <c r="E225" s="512"/>
      <c r="AH225" s="204" t="str">
        <f t="shared" si="3"/>
        <v/>
      </c>
      <c r="AI225" s="280"/>
    </row>
    <row r="226" spans="5:35" ht="24" customHeight="1">
      <c r="E226" s="512"/>
      <c r="AH226" s="204" t="str">
        <f t="shared" si="3"/>
        <v/>
      </c>
      <c r="AI226" s="280"/>
    </row>
    <row r="227" spans="5:35" ht="24" customHeight="1">
      <c r="E227" s="512"/>
      <c r="AH227" s="204" t="str">
        <f t="shared" si="3"/>
        <v/>
      </c>
      <c r="AI227" s="280"/>
    </row>
    <row r="228" spans="5:35" ht="24" customHeight="1">
      <c r="E228" s="512"/>
      <c r="AH228" s="204" t="str">
        <f t="shared" si="3"/>
        <v/>
      </c>
      <c r="AI228" s="280"/>
    </row>
    <row r="229" spans="5:35" ht="24" customHeight="1">
      <c r="E229" s="512"/>
      <c r="AH229" s="204" t="str">
        <f t="shared" si="3"/>
        <v/>
      </c>
      <c r="AI229" s="280"/>
    </row>
    <row r="230" spans="5:35" ht="24" customHeight="1">
      <c r="E230" s="512"/>
      <c r="AH230" s="204" t="str">
        <f t="shared" si="3"/>
        <v/>
      </c>
      <c r="AI230" s="280"/>
    </row>
    <row r="231" spans="5:35" ht="24" customHeight="1">
      <c r="E231" s="512"/>
      <c r="AH231" s="204" t="str">
        <f t="shared" si="3"/>
        <v/>
      </c>
      <c r="AI231" s="280"/>
    </row>
    <row r="232" spans="5:35" ht="24" customHeight="1">
      <c r="E232" s="512"/>
      <c r="AH232" s="204" t="str">
        <f t="shared" si="3"/>
        <v/>
      </c>
      <c r="AI232" s="280"/>
    </row>
    <row r="233" spans="5:35" ht="24" customHeight="1">
      <c r="E233" s="512"/>
      <c r="AH233" s="204" t="str">
        <f t="shared" si="3"/>
        <v/>
      </c>
      <c r="AI233" s="280"/>
    </row>
    <row r="234" spans="5:35" ht="24" customHeight="1">
      <c r="E234" s="512"/>
      <c r="AH234" s="204" t="str">
        <f t="shared" si="3"/>
        <v/>
      </c>
      <c r="AI234" s="280"/>
    </row>
    <row r="235" spans="5:35" ht="24" customHeight="1">
      <c r="E235" s="512"/>
      <c r="AH235" s="204" t="str">
        <f t="shared" si="3"/>
        <v/>
      </c>
      <c r="AI235" s="280"/>
    </row>
    <row r="236" spans="5:35" ht="24" customHeight="1">
      <c r="E236" s="512"/>
      <c r="AH236" s="204" t="str">
        <f t="shared" si="3"/>
        <v/>
      </c>
      <c r="AI236" s="280"/>
    </row>
    <row r="237" spans="5:35" ht="24" customHeight="1">
      <c r="E237" s="512"/>
      <c r="AH237" s="204" t="str">
        <f t="shared" si="3"/>
        <v/>
      </c>
      <c r="AI237" s="280"/>
    </row>
    <row r="238" spans="5:35" ht="24" customHeight="1">
      <c r="E238" s="512"/>
      <c r="AH238" s="204" t="str">
        <f t="shared" si="3"/>
        <v/>
      </c>
      <c r="AI238" s="280"/>
    </row>
    <row r="239" spans="5:35" ht="24" customHeight="1">
      <c r="E239" s="512"/>
      <c r="AH239" s="204" t="str">
        <f t="shared" si="3"/>
        <v/>
      </c>
      <c r="AI239" s="280"/>
    </row>
    <row r="240" spans="5:35" ht="24" customHeight="1">
      <c r="E240" s="512"/>
      <c r="AH240" s="204" t="str">
        <f t="shared" si="3"/>
        <v/>
      </c>
      <c r="AI240" s="280"/>
    </row>
    <row r="241" spans="5:35" ht="24" customHeight="1">
      <c r="E241" s="512"/>
      <c r="AH241" s="204" t="str">
        <f t="shared" si="3"/>
        <v/>
      </c>
      <c r="AI241" s="280"/>
    </row>
    <row r="242" spans="5:35" ht="24" customHeight="1">
      <c r="E242" s="512"/>
      <c r="AH242" s="204" t="str">
        <f t="shared" si="3"/>
        <v/>
      </c>
      <c r="AI242" s="280"/>
    </row>
    <row r="243" spans="5:35" ht="24" customHeight="1">
      <c r="E243" s="512"/>
      <c r="AH243" s="204" t="str">
        <f t="shared" si="3"/>
        <v/>
      </c>
      <c r="AI243" s="280"/>
    </row>
    <row r="244" spans="5:35" ht="24" customHeight="1">
      <c r="E244" s="512"/>
      <c r="AH244" s="204" t="str">
        <f t="shared" si="3"/>
        <v/>
      </c>
      <c r="AI244" s="280"/>
    </row>
    <row r="245" spans="5:35" ht="24" customHeight="1">
      <c r="E245" s="512"/>
      <c r="AH245" s="204" t="str">
        <f t="shared" si="3"/>
        <v/>
      </c>
      <c r="AI245" s="280"/>
    </row>
    <row r="246" spans="5:35" ht="24" customHeight="1">
      <c r="E246" s="512"/>
      <c r="AH246" s="204" t="str">
        <f t="shared" si="3"/>
        <v/>
      </c>
      <c r="AI246" s="280"/>
    </row>
    <row r="247" spans="5:35" ht="24" customHeight="1">
      <c r="E247" s="512"/>
      <c r="AH247" s="204" t="str">
        <f t="shared" si="3"/>
        <v/>
      </c>
      <c r="AI247" s="280"/>
    </row>
    <row r="248" spans="5:35" ht="24" customHeight="1">
      <c r="E248" s="512"/>
      <c r="AH248" s="204" t="str">
        <f t="shared" si="3"/>
        <v/>
      </c>
      <c r="AI248" s="280"/>
    </row>
    <row r="249" spans="5:35" ht="24" customHeight="1">
      <c r="E249" s="512"/>
      <c r="AH249" s="204" t="str">
        <f t="shared" si="3"/>
        <v/>
      </c>
      <c r="AI249" s="280"/>
    </row>
    <row r="250" spans="5:35" ht="24" customHeight="1">
      <c r="E250" s="512"/>
      <c r="AH250" s="204" t="str">
        <f t="shared" si="3"/>
        <v/>
      </c>
      <c r="AI250" s="280"/>
    </row>
    <row r="251" spans="5:35" ht="24" customHeight="1">
      <c r="E251" s="512"/>
      <c r="AH251" s="204" t="str">
        <f t="shared" si="3"/>
        <v/>
      </c>
      <c r="AI251" s="280"/>
    </row>
    <row r="252" spans="5:35" ht="24" customHeight="1">
      <c r="E252" s="512"/>
      <c r="AH252" s="204" t="str">
        <f t="shared" si="3"/>
        <v/>
      </c>
      <c r="AI252" s="280"/>
    </row>
    <row r="253" spans="5:35" ht="24" customHeight="1">
      <c r="E253" s="512"/>
      <c r="AH253" s="204" t="str">
        <f t="shared" si="3"/>
        <v/>
      </c>
      <c r="AI253" s="280"/>
    </row>
    <row r="254" spans="5:35" ht="24" customHeight="1">
      <c r="E254" s="512"/>
      <c r="AH254" s="204" t="str">
        <f t="shared" si="3"/>
        <v/>
      </c>
      <c r="AI254" s="280"/>
    </row>
    <row r="255" spans="5:35" ht="24" customHeight="1">
      <c r="E255" s="512"/>
      <c r="AH255" s="204" t="str">
        <f t="shared" si="3"/>
        <v/>
      </c>
      <c r="AI255" s="280"/>
    </row>
    <row r="256" spans="5:35" ht="24" customHeight="1">
      <c r="E256" s="512"/>
      <c r="AH256" s="204" t="str">
        <f t="shared" si="3"/>
        <v/>
      </c>
      <c r="AI256" s="280"/>
    </row>
    <row r="257" spans="5:35" ht="24" customHeight="1">
      <c r="E257" s="512"/>
      <c r="AH257" s="204" t="str">
        <f t="shared" si="3"/>
        <v/>
      </c>
      <c r="AI257" s="280"/>
    </row>
    <row r="258" spans="5:35" ht="24" customHeight="1">
      <c r="E258" s="512"/>
      <c r="AH258" s="204" t="str">
        <f t="shared" si="3"/>
        <v/>
      </c>
      <c r="AI258" s="280"/>
    </row>
    <row r="259" spans="5:35" ht="24" customHeight="1">
      <c r="E259" s="512"/>
      <c r="AH259" s="204" t="str">
        <f t="shared" si="3"/>
        <v/>
      </c>
      <c r="AI259" s="280"/>
    </row>
    <row r="260" spans="5:35" ht="24" customHeight="1">
      <c r="E260" s="512"/>
      <c r="AH260" s="204" t="str">
        <f t="shared" si="3"/>
        <v/>
      </c>
      <c r="AI260" s="280"/>
    </row>
    <row r="261" spans="5:35" ht="24" customHeight="1">
      <c r="E261" s="512"/>
      <c r="AH261" s="204" t="str">
        <f t="shared" si="3"/>
        <v/>
      </c>
      <c r="AI261" s="280"/>
    </row>
    <row r="262" spans="5:35" ht="24" customHeight="1">
      <c r="E262" s="512"/>
      <c r="AH262" s="204" t="str">
        <f t="shared" si="3"/>
        <v/>
      </c>
      <c r="AI262" s="280"/>
    </row>
    <row r="263" spans="5:35" ht="24" customHeight="1">
      <c r="E263" s="512"/>
      <c r="AH263" s="204" t="str">
        <f t="shared" ref="AH263:AH326" si="4">IF(B263="","",B263)</f>
        <v/>
      </c>
      <c r="AI263" s="280"/>
    </row>
    <row r="264" spans="5:35" ht="24" customHeight="1">
      <c r="E264" s="512"/>
      <c r="AH264" s="204" t="str">
        <f t="shared" si="4"/>
        <v/>
      </c>
      <c r="AI264" s="280"/>
    </row>
    <row r="265" spans="5:35" ht="24" customHeight="1">
      <c r="E265" s="512"/>
      <c r="AH265" s="204" t="str">
        <f t="shared" si="4"/>
        <v/>
      </c>
      <c r="AI265" s="280"/>
    </row>
    <row r="266" spans="5:35" ht="24" customHeight="1">
      <c r="E266" s="512"/>
      <c r="AH266" s="204" t="str">
        <f t="shared" si="4"/>
        <v/>
      </c>
      <c r="AI266" s="280"/>
    </row>
    <row r="267" spans="5:35" ht="24" customHeight="1">
      <c r="E267" s="512"/>
      <c r="AH267" s="204" t="str">
        <f t="shared" si="4"/>
        <v/>
      </c>
      <c r="AI267" s="280"/>
    </row>
    <row r="268" spans="5:35" ht="24" customHeight="1">
      <c r="E268" s="512"/>
      <c r="AH268" s="204" t="str">
        <f t="shared" si="4"/>
        <v/>
      </c>
      <c r="AI268" s="280"/>
    </row>
    <row r="269" spans="5:35" ht="24" customHeight="1">
      <c r="E269" s="512"/>
      <c r="AH269" s="204" t="str">
        <f t="shared" si="4"/>
        <v/>
      </c>
      <c r="AI269" s="280"/>
    </row>
    <row r="270" spans="5:35" ht="24" customHeight="1">
      <c r="E270" s="512"/>
      <c r="AH270" s="204" t="str">
        <f t="shared" si="4"/>
        <v/>
      </c>
      <c r="AI270" s="280"/>
    </row>
    <row r="271" spans="5:35" ht="24" customHeight="1">
      <c r="E271" s="512"/>
      <c r="AH271" s="204" t="str">
        <f t="shared" si="4"/>
        <v/>
      </c>
      <c r="AI271" s="280"/>
    </row>
    <row r="272" spans="5:35" ht="24" customHeight="1">
      <c r="E272" s="512"/>
      <c r="AH272" s="204" t="str">
        <f t="shared" si="4"/>
        <v/>
      </c>
      <c r="AI272" s="280"/>
    </row>
    <row r="273" spans="5:35" ht="24" customHeight="1">
      <c r="E273" s="512"/>
      <c r="AH273" s="204" t="str">
        <f t="shared" si="4"/>
        <v/>
      </c>
      <c r="AI273" s="280"/>
    </row>
    <row r="274" spans="5:35" ht="24" customHeight="1">
      <c r="E274" s="512"/>
      <c r="AH274" s="204" t="str">
        <f t="shared" si="4"/>
        <v/>
      </c>
      <c r="AI274" s="280"/>
    </row>
    <row r="275" spans="5:35" ht="24" customHeight="1">
      <c r="E275" s="512"/>
      <c r="AH275" s="204" t="str">
        <f t="shared" si="4"/>
        <v/>
      </c>
      <c r="AI275" s="280"/>
    </row>
    <row r="276" spans="5:35" ht="24" customHeight="1">
      <c r="E276" s="512"/>
      <c r="AH276" s="204" t="str">
        <f t="shared" si="4"/>
        <v/>
      </c>
      <c r="AI276" s="280"/>
    </row>
    <row r="277" spans="5:35" ht="24" customHeight="1">
      <c r="E277" s="512"/>
      <c r="AH277" s="204" t="str">
        <f t="shared" si="4"/>
        <v/>
      </c>
      <c r="AI277" s="280"/>
    </row>
    <row r="278" spans="5:35" ht="24" customHeight="1">
      <c r="E278" s="512"/>
      <c r="AH278" s="204" t="str">
        <f t="shared" si="4"/>
        <v/>
      </c>
      <c r="AI278" s="280"/>
    </row>
    <row r="279" spans="5:35" ht="24" customHeight="1">
      <c r="E279" s="512"/>
      <c r="AH279" s="204" t="str">
        <f t="shared" si="4"/>
        <v/>
      </c>
      <c r="AI279" s="280"/>
    </row>
    <row r="280" spans="5:35" ht="24" customHeight="1">
      <c r="E280" s="512"/>
      <c r="AH280" s="204" t="str">
        <f t="shared" si="4"/>
        <v/>
      </c>
      <c r="AI280" s="280"/>
    </row>
    <row r="281" spans="5:35" ht="24" customHeight="1">
      <c r="E281" s="512"/>
      <c r="AH281" s="204" t="str">
        <f t="shared" si="4"/>
        <v/>
      </c>
      <c r="AI281" s="280"/>
    </row>
    <row r="282" spans="5:35" ht="24" customHeight="1">
      <c r="E282" s="512"/>
      <c r="AH282" s="204" t="str">
        <f t="shared" si="4"/>
        <v/>
      </c>
      <c r="AI282" s="280"/>
    </row>
    <row r="283" spans="5:35" ht="24" customHeight="1">
      <c r="E283" s="512"/>
      <c r="AH283" s="204" t="str">
        <f t="shared" si="4"/>
        <v/>
      </c>
      <c r="AI283" s="280"/>
    </row>
    <row r="284" spans="5:35" ht="24" customHeight="1">
      <c r="E284" s="512"/>
      <c r="AH284" s="204" t="str">
        <f t="shared" si="4"/>
        <v/>
      </c>
      <c r="AI284" s="280"/>
    </row>
    <row r="285" spans="5:35" ht="24" customHeight="1">
      <c r="E285" s="512"/>
      <c r="AH285" s="204" t="str">
        <f t="shared" si="4"/>
        <v/>
      </c>
      <c r="AI285" s="280"/>
    </row>
    <row r="286" spans="5:35" ht="24" customHeight="1">
      <c r="E286" s="512"/>
      <c r="AH286" s="204" t="str">
        <f t="shared" si="4"/>
        <v/>
      </c>
      <c r="AI286" s="280"/>
    </row>
    <row r="287" spans="5:35" ht="24" customHeight="1">
      <c r="E287" s="512"/>
      <c r="AH287" s="204" t="str">
        <f t="shared" si="4"/>
        <v/>
      </c>
      <c r="AI287" s="280"/>
    </row>
    <row r="288" spans="5:35" ht="24" customHeight="1">
      <c r="E288" s="512"/>
      <c r="AH288" s="204" t="str">
        <f t="shared" si="4"/>
        <v/>
      </c>
      <c r="AI288" s="280"/>
    </row>
    <row r="289" spans="5:35" ht="24" customHeight="1">
      <c r="E289" s="512"/>
      <c r="AH289" s="204" t="str">
        <f t="shared" si="4"/>
        <v/>
      </c>
      <c r="AI289" s="280"/>
    </row>
    <row r="290" spans="5:35" ht="24" customHeight="1">
      <c r="E290" s="512"/>
      <c r="AH290" s="204" t="str">
        <f t="shared" si="4"/>
        <v/>
      </c>
      <c r="AI290" s="280"/>
    </row>
    <row r="291" spans="5:35" ht="24" customHeight="1">
      <c r="E291" s="512"/>
      <c r="AH291" s="204" t="str">
        <f t="shared" si="4"/>
        <v/>
      </c>
      <c r="AI291" s="280"/>
    </row>
    <row r="292" spans="5:35" ht="24" customHeight="1">
      <c r="E292" s="512"/>
      <c r="AH292" s="204" t="str">
        <f t="shared" si="4"/>
        <v/>
      </c>
      <c r="AI292" s="280"/>
    </row>
    <row r="293" spans="5:35" ht="24" customHeight="1">
      <c r="E293" s="512"/>
      <c r="AH293" s="204" t="str">
        <f t="shared" si="4"/>
        <v/>
      </c>
      <c r="AI293" s="280"/>
    </row>
    <row r="294" spans="5:35" ht="24" customHeight="1">
      <c r="E294" s="512"/>
      <c r="AH294" s="204" t="str">
        <f t="shared" si="4"/>
        <v/>
      </c>
      <c r="AI294" s="280"/>
    </row>
    <row r="295" spans="5:35" ht="24" customHeight="1">
      <c r="E295" s="512"/>
      <c r="AH295" s="204" t="str">
        <f t="shared" si="4"/>
        <v/>
      </c>
      <c r="AI295" s="280"/>
    </row>
    <row r="296" spans="5:35" ht="24" customHeight="1">
      <c r="E296" s="512"/>
      <c r="AH296" s="204" t="str">
        <f t="shared" si="4"/>
        <v/>
      </c>
      <c r="AI296" s="280"/>
    </row>
    <row r="297" spans="5:35" ht="24" customHeight="1">
      <c r="E297" s="512"/>
      <c r="AH297" s="204" t="str">
        <f t="shared" si="4"/>
        <v/>
      </c>
      <c r="AI297" s="280"/>
    </row>
    <row r="298" spans="5:35" ht="24" customHeight="1">
      <c r="E298" s="512"/>
      <c r="AH298" s="204" t="str">
        <f t="shared" si="4"/>
        <v/>
      </c>
      <c r="AI298" s="280"/>
    </row>
    <row r="299" spans="5:35" ht="24" customHeight="1">
      <c r="E299" s="512"/>
      <c r="AH299" s="204" t="str">
        <f t="shared" si="4"/>
        <v/>
      </c>
      <c r="AI299" s="280"/>
    </row>
    <row r="300" spans="5:35" ht="24" customHeight="1">
      <c r="E300" s="512"/>
      <c r="AH300" s="204" t="str">
        <f t="shared" si="4"/>
        <v/>
      </c>
      <c r="AI300" s="280"/>
    </row>
    <row r="301" spans="5:35" ht="24" customHeight="1">
      <c r="E301" s="512"/>
      <c r="AH301" s="204" t="str">
        <f t="shared" si="4"/>
        <v/>
      </c>
      <c r="AI301" s="280"/>
    </row>
    <row r="302" spans="5:35" ht="24" customHeight="1">
      <c r="E302" s="512"/>
      <c r="AH302" s="204" t="str">
        <f t="shared" si="4"/>
        <v/>
      </c>
      <c r="AI302" s="280"/>
    </row>
    <row r="303" spans="5:35" ht="24" customHeight="1">
      <c r="E303" s="512"/>
      <c r="AH303" s="204" t="str">
        <f t="shared" si="4"/>
        <v/>
      </c>
      <c r="AI303" s="280"/>
    </row>
    <row r="304" spans="5:35" ht="24" customHeight="1">
      <c r="E304" s="512"/>
      <c r="AH304" s="204" t="str">
        <f t="shared" si="4"/>
        <v/>
      </c>
      <c r="AI304" s="280"/>
    </row>
    <row r="305" spans="5:35" ht="24" customHeight="1">
      <c r="E305" s="512"/>
      <c r="AH305" s="204" t="str">
        <f t="shared" si="4"/>
        <v/>
      </c>
      <c r="AI305" s="280"/>
    </row>
    <row r="306" spans="5:35" ht="24" customHeight="1">
      <c r="E306" s="512"/>
      <c r="AH306" s="204" t="str">
        <f t="shared" si="4"/>
        <v/>
      </c>
      <c r="AI306" s="280"/>
    </row>
    <row r="307" spans="5:35" ht="24" customHeight="1">
      <c r="E307" s="512"/>
      <c r="AH307" s="204" t="str">
        <f t="shared" si="4"/>
        <v/>
      </c>
      <c r="AI307" s="280"/>
    </row>
    <row r="308" spans="5:35" ht="24" customHeight="1">
      <c r="E308" s="512"/>
      <c r="AH308" s="204" t="str">
        <f t="shared" si="4"/>
        <v/>
      </c>
      <c r="AI308" s="280"/>
    </row>
    <row r="309" spans="5:35" ht="24" customHeight="1">
      <c r="E309" s="512"/>
      <c r="AH309" s="204" t="str">
        <f t="shared" si="4"/>
        <v/>
      </c>
      <c r="AI309" s="280"/>
    </row>
    <row r="310" spans="5:35" ht="24" customHeight="1">
      <c r="E310" s="512"/>
      <c r="AH310" s="204" t="str">
        <f t="shared" si="4"/>
        <v/>
      </c>
      <c r="AI310" s="280"/>
    </row>
    <row r="311" spans="5:35" ht="24" customHeight="1">
      <c r="E311" s="512"/>
      <c r="AH311" s="204" t="str">
        <f t="shared" si="4"/>
        <v/>
      </c>
      <c r="AI311" s="280"/>
    </row>
    <row r="312" spans="5:35" ht="24" customHeight="1">
      <c r="E312" s="512"/>
      <c r="AH312" s="204" t="str">
        <f t="shared" si="4"/>
        <v/>
      </c>
      <c r="AI312" s="280"/>
    </row>
    <row r="313" spans="5:35" ht="24" customHeight="1">
      <c r="E313" s="512"/>
      <c r="AH313" s="204" t="str">
        <f t="shared" si="4"/>
        <v/>
      </c>
      <c r="AI313" s="280"/>
    </row>
    <row r="314" spans="5:35" ht="24" customHeight="1">
      <c r="E314" s="512"/>
      <c r="AH314" s="204" t="str">
        <f t="shared" si="4"/>
        <v/>
      </c>
      <c r="AI314" s="280"/>
    </row>
    <row r="315" spans="5:35" ht="24" customHeight="1">
      <c r="E315" s="512"/>
      <c r="AH315" s="204" t="str">
        <f t="shared" si="4"/>
        <v/>
      </c>
      <c r="AI315" s="280"/>
    </row>
    <row r="316" spans="5:35" ht="24" customHeight="1">
      <c r="E316" s="512"/>
      <c r="F316" s="1005"/>
      <c r="G316" s="1005"/>
      <c r="H316" s="1005"/>
      <c r="I316" s="1005"/>
      <c r="J316" s="1005"/>
      <c r="K316" s="1005"/>
      <c r="AH316" s="204" t="str">
        <f t="shared" si="4"/>
        <v/>
      </c>
      <c r="AI316" s="280"/>
    </row>
    <row r="317" spans="5:35" ht="24" customHeight="1">
      <c r="E317" s="512"/>
      <c r="AH317" s="204" t="str">
        <f t="shared" si="4"/>
        <v/>
      </c>
      <c r="AI317" s="280"/>
    </row>
    <row r="318" spans="5:35" ht="24" customHeight="1">
      <c r="E318" s="512"/>
      <c r="AH318" s="204" t="str">
        <f t="shared" si="4"/>
        <v/>
      </c>
      <c r="AI318" s="280"/>
    </row>
    <row r="319" spans="5:35" ht="24" customHeight="1">
      <c r="E319" s="512"/>
      <c r="AH319" s="204" t="str">
        <f t="shared" si="4"/>
        <v/>
      </c>
      <c r="AI319" s="280"/>
    </row>
    <row r="320" spans="5:35" ht="24" customHeight="1">
      <c r="E320" s="512"/>
      <c r="AH320" s="204" t="str">
        <f t="shared" si="4"/>
        <v/>
      </c>
      <c r="AI320" s="280"/>
    </row>
    <row r="321" spans="5:35" ht="24" customHeight="1">
      <c r="E321" s="512"/>
      <c r="AH321" s="204" t="str">
        <f t="shared" si="4"/>
        <v/>
      </c>
      <c r="AI321" s="280"/>
    </row>
    <row r="322" spans="5:35" ht="24" customHeight="1">
      <c r="E322" s="512"/>
      <c r="AH322" s="204" t="str">
        <f t="shared" si="4"/>
        <v/>
      </c>
      <c r="AI322" s="280"/>
    </row>
    <row r="323" spans="5:35" ht="24" customHeight="1">
      <c r="E323" s="512"/>
      <c r="AH323" s="204" t="str">
        <f t="shared" si="4"/>
        <v/>
      </c>
      <c r="AI323" s="280"/>
    </row>
    <row r="324" spans="5:35" ht="24" customHeight="1">
      <c r="E324" s="512"/>
      <c r="AH324" s="204" t="str">
        <f t="shared" si="4"/>
        <v/>
      </c>
      <c r="AI324" s="280"/>
    </row>
    <row r="325" spans="5:35" ht="24" customHeight="1">
      <c r="E325" s="512"/>
      <c r="AH325" s="204" t="str">
        <f t="shared" si="4"/>
        <v/>
      </c>
    </row>
    <row r="326" spans="5:35" ht="24" customHeight="1">
      <c r="E326" s="512"/>
      <c r="AH326" s="204" t="str">
        <f t="shared" si="4"/>
        <v/>
      </c>
      <c r="AI326" s="280"/>
    </row>
    <row r="327" spans="5:35" ht="24" customHeight="1">
      <c r="E327" s="512"/>
      <c r="AH327" s="204" t="str">
        <f t="shared" ref="AH327:AH328" si="5">IF(B327="","",B327)</f>
        <v/>
      </c>
      <c r="AI327" s="280"/>
    </row>
    <row r="328" spans="5:35" ht="24" customHeight="1">
      <c r="E328" s="512"/>
      <c r="AH328" s="204" t="str">
        <f t="shared" si="5"/>
        <v/>
      </c>
      <c r="AI328" s="280"/>
    </row>
    <row r="329" spans="5:35" ht="24" customHeight="1">
      <c r="E329" s="512"/>
      <c r="AH329" s="204" t="str">
        <f t="shared" ref="AH329:AH390" si="6">IF(B329="","",B329)</f>
        <v/>
      </c>
      <c r="AI329" s="280"/>
    </row>
    <row r="330" spans="5:35" ht="24" customHeight="1">
      <c r="E330" s="512"/>
      <c r="AH330" s="204" t="str">
        <f t="shared" si="6"/>
        <v/>
      </c>
      <c r="AI330" s="280"/>
    </row>
    <row r="331" spans="5:35" ht="24" customHeight="1">
      <c r="E331" s="512"/>
      <c r="AH331" s="204" t="str">
        <f t="shared" si="6"/>
        <v/>
      </c>
      <c r="AI331" s="280"/>
    </row>
    <row r="332" spans="5:35" ht="24" customHeight="1">
      <c r="E332" s="512"/>
      <c r="AH332" s="204" t="str">
        <f t="shared" si="6"/>
        <v/>
      </c>
      <c r="AI332" s="280"/>
    </row>
    <row r="333" spans="5:35" ht="24" customHeight="1">
      <c r="E333" s="512"/>
      <c r="AH333" s="204" t="str">
        <f t="shared" si="6"/>
        <v/>
      </c>
      <c r="AI333" s="280"/>
    </row>
    <row r="334" spans="5:35" ht="24" customHeight="1">
      <c r="E334" s="512"/>
      <c r="AH334" s="204" t="str">
        <f t="shared" si="6"/>
        <v/>
      </c>
      <c r="AI334" s="280"/>
    </row>
    <row r="335" spans="5:35" ht="24" customHeight="1">
      <c r="E335" s="512"/>
      <c r="AH335" s="204" t="str">
        <f t="shared" si="6"/>
        <v/>
      </c>
      <c r="AI335" s="280"/>
    </row>
    <row r="336" spans="5:35" ht="24" customHeight="1">
      <c r="E336" s="512"/>
      <c r="AH336" s="204" t="str">
        <f t="shared" si="6"/>
        <v/>
      </c>
      <c r="AI336" s="280"/>
    </row>
    <row r="337" spans="5:35" ht="24" customHeight="1">
      <c r="E337" s="512"/>
      <c r="AH337" s="204" t="str">
        <f t="shared" si="6"/>
        <v/>
      </c>
      <c r="AI337" s="280"/>
    </row>
    <row r="338" spans="5:35" ht="24" customHeight="1">
      <c r="E338" s="512"/>
      <c r="AH338" s="204" t="str">
        <f t="shared" si="6"/>
        <v/>
      </c>
      <c r="AI338" s="280"/>
    </row>
    <row r="339" spans="5:35" ht="24" customHeight="1">
      <c r="E339" s="512"/>
      <c r="AH339" s="204" t="str">
        <f t="shared" si="6"/>
        <v/>
      </c>
      <c r="AI339" s="280"/>
    </row>
    <row r="340" spans="5:35" ht="24" customHeight="1">
      <c r="E340" s="512"/>
      <c r="AH340" s="204" t="str">
        <f t="shared" si="6"/>
        <v/>
      </c>
    </row>
    <row r="341" spans="5:35" ht="24" customHeight="1">
      <c r="E341" s="512"/>
      <c r="AH341" s="204" t="str">
        <f t="shared" si="6"/>
        <v/>
      </c>
    </row>
    <row r="342" spans="5:35" ht="24" customHeight="1">
      <c r="E342" s="512"/>
      <c r="AH342" s="204" t="str">
        <f t="shared" si="6"/>
        <v/>
      </c>
    </row>
    <row r="343" spans="5:35" ht="24" customHeight="1">
      <c r="E343" s="512"/>
      <c r="AH343" s="204" t="str">
        <f t="shared" si="6"/>
        <v/>
      </c>
    </row>
    <row r="344" spans="5:35" ht="24" customHeight="1">
      <c r="E344" s="512"/>
      <c r="AH344" s="204" t="str">
        <f t="shared" si="6"/>
        <v/>
      </c>
    </row>
    <row r="345" spans="5:35" ht="24" customHeight="1">
      <c r="E345" s="512"/>
      <c r="AH345" s="204" t="str">
        <f t="shared" si="6"/>
        <v/>
      </c>
    </row>
    <row r="346" spans="5:35" ht="24" customHeight="1">
      <c r="E346" s="512"/>
      <c r="AH346" s="204" t="str">
        <f t="shared" si="6"/>
        <v/>
      </c>
    </row>
    <row r="347" spans="5:35" ht="24" customHeight="1">
      <c r="E347" s="512"/>
      <c r="AH347" s="204" t="str">
        <f t="shared" si="6"/>
        <v/>
      </c>
    </row>
    <row r="348" spans="5:35" ht="24" customHeight="1">
      <c r="E348" s="512"/>
      <c r="AH348" s="204" t="str">
        <f t="shared" si="6"/>
        <v/>
      </c>
    </row>
    <row r="349" spans="5:35" ht="24" customHeight="1">
      <c r="E349" s="512"/>
      <c r="AH349" s="204" t="str">
        <f t="shared" si="6"/>
        <v/>
      </c>
    </row>
    <row r="350" spans="5:35" ht="24" customHeight="1">
      <c r="E350" s="512"/>
      <c r="AH350" s="204" t="str">
        <f t="shared" si="6"/>
        <v/>
      </c>
    </row>
    <row r="351" spans="5:35" ht="24" customHeight="1">
      <c r="E351" s="512"/>
      <c r="AH351" s="204" t="str">
        <f t="shared" si="6"/>
        <v/>
      </c>
    </row>
    <row r="352" spans="5:35" ht="24" customHeight="1">
      <c r="E352" s="512"/>
      <c r="AH352" s="204" t="str">
        <f t="shared" si="6"/>
        <v/>
      </c>
    </row>
    <row r="353" spans="5:34" ht="24" customHeight="1">
      <c r="E353" s="512"/>
      <c r="AH353" s="204" t="str">
        <f t="shared" si="6"/>
        <v/>
      </c>
    </row>
    <row r="354" spans="5:34" ht="24" customHeight="1">
      <c r="E354" s="512"/>
      <c r="AH354" s="204" t="str">
        <f t="shared" si="6"/>
        <v/>
      </c>
    </row>
    <row r="355" spans="5:34" ht="24" customHeight="1">
      <c r="E355" s="512"/>
      <c r="AH355" s="204" t="str">
        <f t="shared" si="6"/>
        <v/>
      </c>
    </row>
    <row r="356" spans="5:34" ht="24" customHeight="1">
      <c r="E356" s="512"/>
      <c r="AH356" s="204" t="str">
        <f t="shared" si="6"/>
        <v/>
      </c>
    </row>
    <row r="357" spans="5:34" ht="24" customHeight="1">
      <c r="E357" s="512"/>
      <c r="AH357" s="204" t="str">
        <f t="shared" si="6"/>
        <v/>
      </c>
    </row>
    <row r="358" spans="5:34" ht="24" customHeight="1">
      <c r="E358" s="512"/>
      <c r="AH358" s="204" t="str">
        <f t="shared" si="6"/>
        <v/>
      </c>
    </row>
    <row r="359" spans="5:34" ht="24" customHeight="1">
      <c r="E359" s="512"/>
      <c r="AH359" s="204" t="str">
        <f t="shared" si="6"/>
        <v/>
      </c>
    </row>
    <row r="360" spans="5:34" ht="24" customHeight="1">
      <c r="E360" s="512"/>
      <c r="AH360" s="204" t="str">
        <f t="shared" si="6"/>
        <v/>
      </c>
    </row>
    <row r="361" spans="5:34" ht="24" customHeight="1">
      <c r="E361" s="512"/>
      <c r="AH361" s="204" t="str">
        <f t="shared" si="6"/>
        <v/>
      </c>
    </row>
    <row r="362" spans="5:34" ht="24" customHeight="1">
      <c r="E362" s="512"/>
      <c r="AH362" s="204" t="str">
        <f t="shared" si="6"/>
        <v/>
      </c>
    </row>
    <row r="363" spans="5:34" ht="24" customHeight="1">
      <c r="E363" s="512"/>
      <c r="AH363" s="204" t="str">
        <f t="shared" si="6"/>
        <v/>
      </c>
    </row>
    <row r="364" spans="5:34" ht="24" customHeight="1">
      <c r="E364" s="512"/>
      <c r="AH364" s="204" t="str">
        <f t="shared" si="6"/>
        <v/>
      </c>
    </row>
    <row r="365" spans="5:34" ht="24" customHeight="1">
      <c r="E365" s="512"/>
      <c r="AH365" s="204" t="str">
        <f t="shared" si="6"/>
        <v/>
      </c>
    </row>
    <row r="366" spans="5:34" ht="24" customHeight="1">
      <c r="E366" s="512"/>
      <c r="AH366" s="204" t="str">
        <f t="shared" si="6"/>
        <v/>
      </c>
    </row>
    <row r="367" spans="5:34" ht="24" customHeight="1">
      <c r="E367" s="512"/>
      <c r="AH367" s="204" t="str">
        <f t="shared" si="6"/>
        <v/>
      </c>
    </row>
    <row r="368" spans="5:34" ht="24" customHeight="1">
      <c r="E368" s="512"/>
      <c r="AH368" s="204" t="str">
        <f t="shared" si="6"/>
        <v/>
      </c>
    </row>
    <row r="369" spans="5:34" ht="24" customHeight="1">
      <c r="E369" s="512"/>
      <c r="AH369" s="204" t="str">
        <f t="shared" si="6"/>
        <v/>
      </c>
    </row>
    <row r="370" spans="5:34" ht="24" customHeight="1">
      <c r="E370" s="512"/>
      <c r="AH370" s="204" t="str">
        <f t="shared" si="6"/>
        <v/>
      </c>
    </row>
    <row r="371" spans="5:34" ht="24" customHeight="1">
      <c r="E371" s="512"/>
      <c r="AH371" s="204" t="str">
        <f t="shared" si="6"/>
        <v/>
      </c>
    </row>
    <row r="372" spans="5:34" ht="24" customHeight="1">
      <c r="E372" s="512"/>
      <c r="AH372" s="204" t="str">
        <f t="shared" si="6"/>
        <v/>
      </c>
    </row>
    <row r="373" spans="5:34" ht="24" customHeight="1">
      <c r="E373" s="512"/>
      <c r="AH373" s="204" t="str">
        <f t="shared" si="6"/>
        <v/>
      </c>
    </row>
    <row r="374" spans="5:34" ht="24" customHeight="1">
      <c r="E374" s="512"/>
      <c r="AH374" s="204" t="str">
        <f t="shared" si="6"/>
        <v/>
      </c>
    </row>
    <row r="375" spans="5:34" ht="24" customHeight="1">
      <c r="E375" s="512"/>
      <c r="AH375" s="204" t="str">
        <f t="shared" si="6"/>
        <v/>
      </c>
    </row>
    <row r="376" spans="5:34" ht="24" customHeight="1">
      <c r="E376" s="512"/>
      <c r="AH376" s="204" t="str">
        <f t="shared" si="6"/>
        <v/>
      </c>
    </row>
    <row r="377" spans="5:34" ht="24" customHeight="1">
      <c r="E377" s="512"/>
      <c r="AH377" s="204" t="str">
        <f t="shared" si="6"/>
        <v/>
      </c>
    </row>
    <row r="378" spans="5:34" ht="24" customHeight="1">
      <c r="E378" s="512"/>
      <c r="AH378" s="204" t="str">
        <f t="shared" si="6"/>
        <v/>
      </c>
    </row>
    <row r="379" spans="5:34" ht="24" customHeight="1">
      <c r="E379" s="512"/>
      <c r="AH379" s="204" t="str">
        <f t="shared" si="6"/>
        <v/>
      </c>
    </row>
    <row r="380" spans="5:34" ht="24" customHeight="1">
      <c r="E380" s="512"/>
      <c r="AH380" s="204" t="str">
        <f t="shared" si="6"/>
        <v/>
      </c>
    </row>
    <row r="381" spans="5:34" ht="24" customHeight="1">
      <c r="E381" s="512"/>
      <c r="AH381" s="204" t="str">
        <f t="shared" si="6"/>
        <v/>
      </c>
    </row>
    <row r="382" spans="5:34" ht="24" customHeight="1">
      <c r="E382" s="512"/>
      <c r="AH382" s="204" t="str">
        <f t="shared" si="6"/>
        <v/>
      </c>
    </row>
    <row r="383" spans="5:34" ht="24" customHeight="1">
      <c r="E383" s="512"/>
      <c r="AH383" s="204" t="str">
        <f t="shared" si="6"/>
        <v/>
      </c>
    </row>
    <row r="384" spans="5:34" ht="24" customHeight="1">
      <c r="E384" s="512"/>
      <c r="AH384" s="204" t="str">
        <f t="shared" si="6"/>
        <v/>
      </c>
    </row>
    <row r="385" spans="5:34" ht="24" customHeight="1">
      <c r="E385" s="512"/>
      <c r="AH385" s="204" t="str">
        <f t="shared" si="6"/>
        <v/>
      </c>
    </row>
    <row r="386" spans="5:34" ht="24" customHeight="1">
      <c r="E386" s="512"/>
      <c r="AH386" s="204" t="str">
        <f t="shared" si="6"/>
        <v/>
      </c>
    </row>
    <row r="387" spans="5:34" ht="24" customHeight="1">
      <c r="E387" s="512"/>
      <c r="AH387" s="204" t="str">
        <f t="shared" si="6"/>
        <v/>
      </c>
    </row>
    <row r="388" spans="5:34" ht="24" customHeight="1">
      <c r="E388" s="512"/>
      <c r="AH388" s="204" t="str">
        <f t="shared" si="6"/>
        <v/>
      </c>
    </row>
    <row r="389" spans="5:34" ht="24" customHeight="1">
      <c r="E389" s="512"/>
      <c r="AH389" s="204" t="str">
        <f t="shared" si="6"/>
        <v/>
      </c>
    </row>
    <row r="390" spans="5:34" ht="24" customHeight="1">
      <c r="E390" s="512"/>
      <c r="AH390" s="204" t="str">
        <f t="shared" si="6"/>
        <v/>
      </c>
    </row>
    <row r="391" spans="5:34" ht="24" customHeight="1">
      <c r="E391" s="512"/>
      <c r="AH391" s="204" t="str">
        <f t="shared" ref="AH391:AH454" si="7">IF(B391="","",B391)</f>
        <v/>
      </c>
    </row>
    <row r="392" spans="5:34" ht="24" customHeight="1">
      <c r="E392" s="512"/>
      <c r="AH392" s="204" t="str">
        <f t="shared" si="7"/>
        <v/>
      </c>
    </row>
    <row r="393" spans="5:34" ht="24" customHeight="1">
      <c r="E393" s="512"/>
      <c r="AH393" s="204" t="str">
        <f t="shared" si="7"/>
        <v/>
      </c>
    </row>
    <row r="394" spans="5:34" ht="24" customHeight="1">
      <c r="E394" s="512"/>
      <c r="AH394" s="204" t="str">
        <f t="shared" si="7"/>
        <v/>
      </c>
    </row>
    <row r="395" spans="5:34" ht="24" customHeight="1">
      <c r="E395" s="512"/>
      <c r="AH395" s="204" t="str">
        <f t="shared" si="7"/>
        <v/>
      </c>
    </row>
    <row r="396" spans="5:34" ht="24" customHeight="1">
      <c r="E396" s="512"/>
      <c r="AH396" s="204" t="str">
        <f t="shared" si="7"/>
        <v/>
      </c>
    </row>
    <row r="397" spans="5:34" ht="24" customHeight="1">
      <c r="E397" s="512"/>
      <c r="AH397" s="204" t="str">
        <f t="shared" si="7"/>
        <v/>
      </c>
    </row>
    <row r="398" spans="5:34" ht="24" customHeight="1">
      <c r="E398" s="512"/>
      <c r="AH398" s="204" t="str">
        <f t="shared" si="7"/>
        <v/>
      </c>
    </row>
    <row r="399" spans="5:34" ht="24" customHeight="1">
      <c r="E399" s="512"/>
      <c r="AH399" s="204" t="str">
        <f t="shared" si="7"/>
        <v/>
      </c>
    </row>
    <row r="400" spans="5:34" ht="24" customHeight="1">
      <c r="E400" s="512"/>
      <c r="AH400" s="204" t="str">
        <f t="shared" si="7"/>
        <v/>
      </c>
    </row>
    <row r="401" spans="5:34" ht="24" customHeight="1">
      <c r="E401" s="512"/>
      <c r="AH401" s="204" t="str">
        <f t="shared" si="7"/>
        <v/>
      </c>
    </row>
    <row r="402" spans="5:34" ht="24" customHeight="1">
      <c r="E402" s="512"/>
      <c r="AH402" s="204" t="str">
        <f t="shared" si="7"/>
        <v/>
      </c>
    </row>
    <row r="403" spans="5:34" ht="24" customHeight="1">
      <c r="E403" s="512"/>
      <c r="AH403" s="204" t="str">
        <f t="shared" si="7"/>
        <v/>
      </c>
    </row>
    <row r="404" spans="5:34" ht="24" customHeight="1">
      <c r="E404" s="512"/>
      <c r="AH404" s="204" t="str">
        <f t="shared" si="7"/>
        <v/>
      </c>
    </row>
    <row r="405" spans="5:34" ht="24" customHeight="1">
      <c r="E405" s="512"/>
      <c r="AH405" s="204" t="str">
        <f t="shared" si="7"/>
        <v/>
      </c>
    </row>
    <row r="406" spans="5:34" ht="24" customHeight="1">
      <c r="E406" s="512"/>
      <c r="AH406" s="204" t="str">
        <f t="shared" si="7"/>
        <v/>
      </c>
    </row>
    <row r="407" spans="5:34" ht="24" customHeight="1">
      <c r="E407" s="512"/>
      <c r="AH407" s="204" t="str">
        <f t="shared" si="7"/>
        <v/>
      </c>
    </row>
    <row r="408" spans="5:34" ht="24" customHeight="1">
      <c r="E408" s="512"/>
      <c r="AH408" s="204" t="str">
        <f t="shared" si="7"/>
        <v/>
      </c>
    </row>
    <row r="409" spans="5:34" ht="24" customHeight="1">
      <c r="E409" s="512"/>
      <c r="AH409" s="204" t="str">
        <f t="shared" si="7"/>
        <v/>
      </c>
    </row>
    <row r="410" spans="5:34" ht="24" customHeight="1">
      <c r="E410" s="512"/>
      <c r="AH410" s="204" t="str">
        <f t="shared" si="7"/>
        <v/>
      </c>
    </row>
    <row r="411" spans="5:34" ht="24" customHeight="1">
      <c r="E411" s="512"/>
      <c r="AH411" s="204" t="str">
        <f t="shared" si="7"/>
        <v/>
      </c>
    </row>
    <row r="412" spans="5:34" ht="24" customHeight="1">
      <c r="E412" s="512"/>
      <c r="AH412" s="204" t="str">
        <f t="shared" si="7"/>
        <v/>
      </c>
    </row>
    <row r="413" spans="5:34" ht="24" customHeight="1">
      <c r="E413" s="512"/>
      <c r="AH413" s="204" t="str">
        <f t="shared" si="7"/>
        <v/>
      </c>
    </row>
    <row r="414" spans="5:34" ht="24" customHeight="1">
      <c r="E414" s="512"/>
      <c r="AH414" s="204" t="str">
        <f t="shared" si="7"/>
        <v/>
      </c>
    </row>
    <row r="415" spans="5:34" ht="24" customHeight="1">
      <c r="E415" s="512"/>
      <c r="AH415" s="204" t="str">
        <f t="shared" si="7"/>
        <v/>
      </c>
    </row>
    <row r="416" spans="5:34" ht="24" customHeight="1">
      <c r="E416" s="512"/>
      <c r="AH416" s="204" t="str">
        <f t="shared" si="7"/>
        <v/>
      </c>
    </row>
    <row r="417" spans="5:34" ht="24" customHeight="1">
      <c r="E417" s="512"/>
      <c r="AH417" s="204" t="str">
        <f t="shared" si="7"/>
        <v/>
      </c>
    </row>
    <row r="418" spans="5:34" ht="24" customHeight="1">
      <c r="E418" s="512"/>
      <c r="AH418" s="204" t="str">
        <f t="shared" si="7"/>
        <v/>
      </c>
    </row>
    <row r="419" spans="5:34" ht="24" customHeight="1">
      <c r="E419" s="512"/>
      <c r="AH419" s="204" t="str">
        <f t="shared" si="7"/>
        <v/>
      </c>
    </row>
    <row r="420" spans="5:34" ht="24" customHeight="1">
      <c r="E420" s="512"/>
      <c r="AH420" s="204" t="str">
        <f t="shared" si="7"/>
        <v/>
      </c>
    </row>
    <row r="421" spans="5:34" ht="24" customHeight="1">
      <c r="E421" s="512"/>
      <c r="AH421" s="204" t="str">
        <f t="shared" si="7"/>
        <v/>
      </c>
    </row>
    <row r="422" spans="5:34" ht="24" customHeight="1">
      <c r="E422" s="512"/>
      <c r="AH422" s="204" t="str">
        <f t="shared" si="7"/>
        <v/>
      </c>
    </row>
    <row r="423" spans="5:34" ht="24" customHeight="1">
      <c r="E423" s="512"/>
      <c r="AH423" s="204" t="str">
        <f t="shared" si="7"/>
        <v/>
      </c>
    </row>
    <row r="424" spans="5:34" ht="24" customHeight="1">
      <c r="E424" s="512"/>
      <c r="AH424" s="204" t="str">
        <f t="shared" si="7"/>
        <v/>
      </c>
    </row>
    <row r="425" spans="5:34" ht="24" customHeight="1">
      <c r="E425" s="512"/>
      <c r="AH425" s="204" t="str">
        <f t="shared" si="7"/>
        <v/>
      </c>
    </row>
    <row r="426" spans="5:34" ht="24" customHeight="1">
      <c r="E426" s="512"/>
      <c r="AH426" s="204" t="str">
        <f t="shared" si="7"/>
        <v/>
      </c>
    </row>
    <row r="427" spans="5:34" ht="24" customHeight="1">
      <c r="E427" s="512"/>
      <c r="AH427" s="204" t="str">
        <f t="shared" si="7"/>
        <v/>
      </c>
    </row>
    <row r="428" spans="5:34" ht="24" customHeight="1">
      <c r="E428" s="512"/>
      <c r="AH428" s="204" t="str">
        <f t="shared" si="7"/>
        <v/>
      </c>
    </row>
    <row r="429" spans="5:34" ht="24" customHeight="1">
      <c r="E429" s="512"/>
      <c r="AH429" s="204" t="str">
        <f t="shared" si="7"/>
        <v/>
      </c>
    </row>
    <row r="430" spans="5:34" ht="24" customHeight="1">
      <c r="E430" s="512"/>
      <c r="AH430" s="204" t="str">
        <f t="shared" si="7"/>
        <v/>
      </c>
    </row>
    <row r="431" spans="5:34" ht="24" customHeight="1">
      <c r="E431" s="512"/>
      <c r="AH431" s="204" t="str">
        <f t="shared" si="7"/>
        <v/>
      </c>
    </row>
    <row r="432" spans="5:34" ht="24" customHeight="1">
      <c r="E432" s="512"/>
      <c r="AH432" s="204" t="str">
        <f t="shared" si="7"/>
        <v/>
      </c>
    </row>
    <row r="433" spans="5:34" ht="24" customHeight="1">
      <c r="E433" s="512"/>
      <c r="AH433" s="204" t="str">
        <f t="shared" si="7"/>
        <v/>
      </c>
    </row>
    <row r="434" spans="5:34" ht="24" customHeight="1">
      <c r="E434" s="512"/>
      <c r="AH434" s="204" t="str">
        <f t="shared" si="7"/>
        <v/>
      </c>
    </row>
    <row r="435" spans="5:34" ht="24" customHeight="1">
      <c r="E435" s="512"/>
      <c r="AH435" s="204" t="str">
        <f t="shared" si="7"/>
        <v/>
      </c>
    </row>
    <row r="436" spans="5:34" ht="24" customHeight="1">
      <c r="E436" s="512"/>
      <c r="AH436" s="204" t="str">
        <f t="shared" si="7"/>
        <v/>
      </c>
    </row>
    <row r="437" spans="5:34" ht="24" customHeight="1">
      <c r="E437" s="512"/>
      <c r="AH437" s="204" t="str">
        <f t="shared" si="7"/>
        <v/>
      </c>
    </row>
    <row r="438" spans="5:34" ht="24" customHeight="1">
      <c r="E438" s="512"/>
      <c r="AH438" s="204" t="str">
        <f t="shared" si="7"/>
        <v/>
      </c>
    </row>
    <row r="439" spans="5:34" ht="24" customHeight="1">
      <c r="E439" s="512"/>
      <c r="AH439" s="204" t="str">
        <f t="shared" si="7"/>
        <v/>
      </c>
    </row>
    <row r="440" spans="5:34" ht="24" customHeight="1">
      <c r="E440" s="512"/>
      <c r="AH440" s="204" t="str">
        <f t="shared" si="7"/>
        <v/>
      </c>
    </row>
    <row r="441" spans="5:34" ht="24" customHeight="1">
      <c r="E441" s="512"/>
      <c r="AH441" s="204" t="str">
        <f t="shared" si="7"/>
        <v/>
      </c>
    </row>
    <row r="442" spans="5:34" ht="24" customHeight="1">
      <c r="E442" s="512"/>
      <c r="AH442" s="204" t="str">
        <f t="shared" si="7"/>
        <v/>
      </c>
    </row>
    <row r="443" spans="5:34" ht="24" customHeight="1">
      <c r="E443" s="512"/>
      <c r="AH443" s="204" t="str">
        <f t="shared" si="7"/>
        <v/>
      </c>
    </row>
    <row r="444" spans="5:34" ht="24" customHeight="1">
      <c r="E444" s="512"/>
      <c r="AH444" s="204" t="str">
        <f t="shared" si="7"/>
        <v/>
      </c>
    </row>
    <row r="445" spans="5:34" ht="24" customHeight="1">
      <c r="E445" s="512"/>
      <c r="AH445" s="204" t="str">
        <f t="shared" si="7"/>
        <v/>
      </c>
    </row>
    <row r="446" spans="5:34" ht="24" customHeight="1">
      <c r="E446" s="512"/>
      <c r="AH446" s="204" t="str">
        <f t="shared" si="7"/>
        <v/>
      </c>
    </row>
    <row r="447" spans="5:34" ht="24" customHeight="1">
      <c r="E447" s="512"/>
      <c r="AH447" s="204" t="str">
        <f t="shared" si="7"/>
        <v/>
      </c>
    </row>
    <row r="448" spans="5:34" ht="24" customHeight="1">
      <c r="E448" s="512"/>
      <c r="AH448" s="204" t="str">
        <f t="shared" si="7"/>
        <v/>
      </c>
    </row>
    <row r="449" spans="5:34" ht="24" customHeight="1">
      <c r="E449" s="512"/>
      <c r="AH449" s="204" t="str">
        <f t="shared" si="7"/>
        <v/>
      </c>
    </row>
    <row r="450" spans="5:34" ht="24" customHeight="1">
      <c r="E450" s="512"/>
      <c r="AH450" s="204" t="str">
        <f t="shared" si="7"/>
        <v/>
      </c>
    </row>
    <row r="451" spans="5:34" ht="24" customHeight="1">
      <c r="E451" s="512"/>
      <c r="AH451" s="204" t="str">
        <f t="shared" si="7"/>
        <v/>
      </c>
    </row>
    <row r="452" spans="5:34" ht="24" customHeight="1">
      <c r="E452" s="512"/>
      <c r="AH452" s="204" t="str">
        <f t="shared" si="7"/>
        <v/>
      </c>
    </row>
    <row r="453" spans="5:34" ht="24" customHeight="1">
      <c r="E453" s="512"/>
      <c r="AH453" s="204" t="str">
        <f t="shared" si="7"/>
        <v/>
      </c>
    </row>
    <row r="454" spans="5:34" ht="24" customHeight="1">
      <c r="E454" s="512"/>
      <c r="AH454" s="204" t="str">
        <f t="shared" si="7"/>
        <v/>
      </c>
    </row>
    <row r="455" spans="5:34" ht="24" customHeight="1">
      <c r="E455" s="512"/>
      <c r="AH455" s="204" t="str">
        <f t="shared" ref="AH455:AH518" si="8">IF(B455="","",B455)</f>
        <v/>
      </c>
    </row>
    <row r="456" spans="5:34" ht="24" customHeight="1">
      <c r="E456" s="512"/>
      <c r="AH456" s="204" t="str">
        <f t="shared" si="8"/>
        <v/>
      </c>
    </row>
    <row r="457" spans="5:34" ht="24" customHeight="1">
      <c r="E457" s="512"/>
      <c r="AH457" s="204" t="str">
        <f t="shared" si="8"/>
        <v/>
      </c>
    </row>
    <row r="458" spans="5:34" ht="24" customHeight="1">
      <c r="E458" s="512"/>
      <c r="AH458" s="204" t="str">
        <f t="shared" si="8"/>
        <v/>
      </c>
    </row>
    <row r="459" spans="5:34" ht="24" customHeight="1">
      <c r="E459" s="512"/>
      <c r="AH459" s="204" t="str">
        <f t="shared" si="8"/>
        <v/>
      </c>
    </row>
    <row r="460" spans="5:34" ht="24" customHeight="1">
      <c r="E460" s="512"/>
      <c r="AH460" s="204" t="str">
        <f t="shared" si="8"/>
        <v/>
      </c>
    </row>
    <row r="461" spans="5:34" ht="24" customHeight="1">
      <c r="E461" s="512"/>
      <c r="AH461" s="204" t="str">
        <f t="shared" si="8"/>
        <v/>
      </c>
    </row>
    <row r="462" spans="5:34" ht="24" customHeight="1">
      <c r="E462" s="512"/>
      <c r="AH462" s="204" t="str">
        <f t="shared" si="8"/>
        <v/>
      </c>
    </row>
    <row r="463" spans="5:34" ht="24" customHeight="1">
      <c r="E463" s="512"/>
      <c r="AH463" s="204" t="str">
        <f t="shared" si="8"/>
        <v/>
      </c>
    </row>
    <row r="464" spans="5:34" ht="24" customHeight="1">
      <c r="E464" s="512"/>
      <c r="AH464" s="204" t="str">
        <f t="shared" si="8"/>
        <v/>
      </c>
    </row>
    <row r="465" spans="5:34" ht="24" customHeight="1">
      <c r="E465" s="512"/>
      <c r="AH465" s="204" t="str">
        <f t="shared" si="8"/>
        <v/>
      </c>
    </row>
    <row r="466" spans="5:34" ht="24" customHeight="1">
      <c r="E466" s="512"/>
      <c r="AH466" s="204" t="str">
        <f t="shared" si="8"/>
        <v/>
      </c>
    </row>
    <row r="467" spans="5:34" ht="24" customHeight="1">
      <c r="E467" s="512"/>
      <c r="AH467" s="204" t="str">
        <f t="shared" si="8"/>
        <v/>
      </c>
    </row>
    <row r="468" spans="5:34" ht="24" customHeight="1">
      <c r="E468" s="512"/>
      <c r="AH468" s="204" t="str">
        <f t="shared" si="8"/>
        <v/>
      </c>
    </row>
    <row r="469" spans="5:34" ht="24" customHeight="1">
      <c r="E469" s="512"/>
      <c r="AH469" s="204" t="str">
        <f t="shared" si="8"/>
        <v/>
      </c>
    </row>
    <row r="470" spans="5:34" ht="24" customHeight="1">
      <c r="E470" s="512"/>
      <c r="AH470" s="204" t="str">
        <f t="shared" si="8"/>
        <v/>
      </c>
    </row>
    <row r="471" spans="5:34" ht="24" customHeight="1">
      <c r="E471" s="512"/>
      <c r="AH471" s="204" t="str">
        <f t="shared" si="8"/>
        <v/>
      </c>
    </row>
    <row r="472" spans="5:34" ht="24" customHeight="1">
      <c r="E472" s="512"/>
      <c r="AH472" s="204" t="str">
        <f t="shared" si="8"/>
        <v/>
      </c>
    </row>
    <row r="473" spans="5:34" ht="24" customHeight="1">
      <c r="E473" s="512"/>
      <c r="AH473" s="204" t="str">
        <f t="shared" si="8"/>
        <v/>
      </c>
    </row>
    <row r="474" spans="5:34" ht="24" customHeight="1">
      <c r="E474" s="512"/>
      <c r="AH474" s="204" t="str">
        <f t="shared" si="8"/>
        <v/>
      </c>
    </row>
    <row r="475" spans="5:34" ht="24" customHeight="1">
      <c r="E475" s="512"/>
      <c r="AH475" s="204" t="str">
        <f t="shared" si="8"/>
        <v/>
      </c>
    </row>
    <row r="476" spans="5:34" ht="24" customHeight="1">
      <c r="E476" s="512"/>
      <c r="AH476" s="204" t="str">
        <f t="shared" si="8"/>
        <v/>
      </c>
    </row>
    <row r="477" spans="5:34" ht="24" customHeight="1">
      <c r="E477" s="512"/>
      <c r="AH477" s="204" t="str">
        <f t="shared" si="8"/>
        <v/>
      </c>
    </row>
    <row r="478" spans="5:34" ht="24" customHeight="1">
      <c r="E478" s="512"/>
      <c r="AH478" s="204" t="str">
        <f t="shared" si="8"/>
        <v/>
      </c>
    </row>
    <row r="479" spans="5:34" ht="24" customHeight="1">
      <c r="E479" s="512"/>
      <c r="AH479" s="204" t="str">
        <f t="shared" si="8"/>
        <v/>
      </c>
    </row>
    <row r="480" spans="5:34" ht="24" customHeight="1">
      <c r="E480" s="512"/>
      <c r="AH480" s="204" t="str">
        <f t="shared" si="8"/>
        <v/>
      </c>
    </row>
    <row r="481" spans="5:34" ht="24" customHeight="1">
      <c r="E481" s="512"/>
      <c r="AH481" s="204" t="str">
        <f t="shared" si="8"/>
        <v/>
      </c>
    </row>
    <row r="482" spans="5:34" ht="24" customHeight="1">
      <c r="E482" s="512"/>
      <c r="AH482" s="204" t="str">
        <f t="shared" si="8"/>
        <v/>
      </c>
    </row>
    <row r="483" spans="5:34" ht="24" customHeight="1">
      <c r="E483" s="512"/>
      <c r="AH483" s="204" t="str">
        <f t="shared" si="8"/>
        <v/>
      </c>
    </row>
    <row r="484" spans="5:34" ht="24" customHeight="1">
      <c r="E484" s="512"/>
      <c r="AH484" s="204" t="str">
        <f t="shared" si="8"/>
        <v/>
      </c>
    </row>
    <row r="485" spans="5:34" ht="24" customHeight="1">
      <c r="E485" s="512"/>
      <c r="AH485" s="204" t="str">
        <f t="shared" si="8"/>
        <v/>
      </c>
    </row>
    <row r="486" spans="5:34" ht="24" customHeight="1">
      <c r="E486" s="512"/>
      <c r="AH486" s="204" t="str">
        <f t="shared" si="8"/>
        <v/>
      </c>
    </row>
    <row r="487" spans="5:34" ht="24" customHeight="1">
      <c r="E487" s="512"/>
      <c r="AH487" s="204" t="str">
        <f t="shared" si="8"/>
        <v/>
      </c>
    </row>
    <row r="488" spans="5:34" ht="24" customHeight="1">
      <c r="E488" s="512"/>
      <c r="AH488" s="204" t="str">
        <f t="shared" si="8"/>
        <v/>
      </c>
    </row>
    <row r="489" spans="5:34" ht="24" customHeight="1">
      <c r="E489" s="512"/>
      <c r="AH489" s="204" t="str">
        <f t="shared" si="8"/>
        <v/>
      </c>
    </row>
    <row r="490" spans="5:34" ht="23.25">
      <c r="E490" s="512"/>
      <c r="AH490" s="204" t="str">
        <f t="shared" si="8"/>
        <v/>
      </c>
    </row>
    <row r="491" spans="5:34" ht="23.25">
      <c r="E491" s="512"/>
      <c r="AH491" s="204" t="str">
        <f t="shared" si="8"/>
        <v/>
      </c>
    </row>
    <row r="492" spans="5:34" ht="23.25">
      <c r="E492" s="512"/>
      <c r="AH492" s="204" t="str">
        <f t="shared" si="8"/>
        <v/>
      </c>
    </row>
    <row r="493" spans="5:34" ht="24" customHeight="1">
      <c r="E493" s="512"/>
      <c r="AH493" s="204" t="str">
        <f t="shared" si="8"/>
        <v/>
      </c>
    </row>
    <row r="494" spans="5:34" ht="24" customHeight="1">
      <c r="E494" s="512"/>
      <c r="AH494" s="204" t="str">
        <f t="shared" si="8"/>
        <v/>
      </c>
    </row>
    <row r="495" spans="5:34" ht="24" customHeight="1">
      <c r="E495" s="512"/>
      <c r="AH495" s="204" t="str">
        <f t="shared" si="8"/>
        <v/>
      </c>
    </row>
    <row r="496" spans="5:34" ht="24" customHeight="1">
      <c r="E496" s="512"/>
      <c r="AH496" s="204" t="str">
        <f t="shared" si="8"/>
        <v/>
      </c>
    </row>
    <row r="497" spans="5:34" ht="24" customHeight="1">
      <c r="E497" s="512"/>
      <c r="AH497" s="204" t="str">
        <f t="shared" si="8"/>
        <v/>
      </c>
    </row>
    <row r="498" spans="5:34" ht="24" customHeight="1">
      <c r="E498" s="512"/>
      <c r="AH498" s="204" t="str">
        <f t="shared" si="8"/>
        <v/>
      </c>
    </row>
    <row r="499" spans="5:34" ht="24" customHeight="1">
      <c r="E499" s="512"/>
      <c r="AH499" s="204" t="str">
        <f t="shared" si="8"/>
        <v/>
      </c>
    </row>
    <row r="500" spans="5:34" ht="24" customHeight="1">
      <c r="E500" s="512"/>
      <c r="AH500" s="204" t="str">
        <f t="shared" si="8"/>
        <v/>
      </c>
    </row>
    <row r="501" spans="5:34" ht="24" customHeight="1">
      <c r="E501" s="512"/>
      <c r="AH501" s="204" t="str">
        <f t="shared" si="8"/>
        <v/>
      </c>
    </row>
    <row r="502" spans="5:34" ht="24" customHeight="1">
      <c r="E502" s="512"/>
      <c r="AH502" s="204" t="str">
        <f t="shared" si="8"/>
        <v/>
      </c>
    </row>
    <row r="503" spans="5:34" ht="24" customHeight="1">
      <c r="E503" s="512"/>
      <c r="AH503" s="204" t="str">
        <f t="shared" si="8"/>
        <v/>
      </c>
    </row>
    <row r="504" spans="5:34" ht="24" customHeight="1">
      <c r="E504" s="512"/>
      <c r="AH504" s="204" t="str">
        <f t="shared" si="8"/>
        <v/>
      </c>
    </row>
    <row r="505" spans="5:34" ht="24" customHeight="1">
      <c r="E505" s="512"/>
      <c r="AH505" s="204" t="str">
        <f t="shared" si="8"/>
        <v/>
      </c>
    </row>
    <row r="506" spans="5:34" ht="24" customHeight="1">
      <c r="E506" s="512"/>
      <c r="AH506" s="204" t="str">
        <f t="shared" si="8"/>
        <v/>
      </c>
    </row>
    <row r="507" spans="5:34" ht="24" customHeight="1">
      <c r="E507" s="512"/>
      <c r="AH507" s="204" t="str">
        <f t="shared" si="8"/>
        <v/>
      </c>
    </row>
    <row r="508" spans="5:34" ht="24" customHeight="1">
      <c r="E508" s="512"/>
      <c r="AH508" s="204" t="str">
        <f t="shared" si="8"/>
        <v/>
      </c>
    </row>
    <row r="509" spans="5:34" ht="24" customHeight="1">
      <c r="E509" s="512"/>
      <c r="AH509" s="204" t="str">
        <f t="shared" si="8"/>
        <v/>
      </c>
    </row>
    <row r="510" spans="5:34" ht="24" customHeight="1">
      <c r="E510" s="512"/>
      <c r="AH510" s="204" t="str">
        <f t="shared" si="8"/>
        <v/>
      </c>
    </row>
    <row r="511" spans="5:34" ht="24" customHeight="1">
      <c r="E511" s="512"/>
      <c r="AH511" s="204" t="str">
        <f t="shared" si="8"/>
        <v/>
      </c>
    </row>
    <row r="512" spans="5:34" ht="24" customHeight="1">
      <c r="E512" s="512"/>
      <c r="AH512" s="204" t="str">
        <f t="shared" si="8"/>
        <v/>
      </c>
    </row>
    <row r="513" spans="5:34" ht="24" customHeight="1">
      <c r="E513" s="512"/>
      <c r="AH513" s="204" t="str">
        <f t="shared" si="8"/>
        <v/>
      </c>
    </row>
    <row r="514" spans="5:34" ht="24" customHeight="1">
      <c r="E514" s="512"/>
      <c r="AH514" s="204" t="str">
        <f t="shared" si="8"/>
        <v/>
      </c>
    </row>
    <row r="515" spans="5:34" ht="24" customHeight="1">
      <c r="E515" s="512"/>
      <c r="AH515" s="204" t="str">
        <f t="shared" si="8"/>
        <v/>
      </c>
    </row>
    <row r="516" spans="5:34" ht="24" customHeight="1">
      <c r="E516" s="512"/>
      <c r="AH516" s="204" t="str">
        <f t="shared" si="8"/>
        <v/>
      </c>
    </row>
    <row r="517" spans="5:34" ht="24" customHeight="1">
      <c r="E517" s="512"/>
      <c r="AH517" s="204" t="str">
        <f t="shared" si="8"/>
        <v/>
      </c>
    </row>
    <row r="518" spans="5:34" ht="24" customHeight="1">
      <c r="E518" s="512"/>
      <c r="AH518" s="204" t="str">
        <f t="shared" si="8"/>
        <v/>
      </c>
    </row>
    <row r="519" spans="5:34" ht="24" customHeight="1">
      <c r="E519" s="512"/>
      <c r="AH519" s="204" t="str">
        <f t="shared" ref="AH519:AH582" si="9">IF(B519="","",B519)</f>
        <v/>
      </c>
    </row>
    <row r="520" spans="5:34" ht="24" customHeight="1">
      <c r="E520" s="512"/>
      <c r="AH520" s="204" t="str">
        <f t="shared" si="9"/>
        <v/>
      </c>
    </row>
    <row r="521" spans="5:34" ht="24" customHeight="1">
      <c r="E521" s="512"/>
      <c r="AH521" s="204" t="str">
        <f t="shared" si="9"/>
        <v/>
      </c>
    </row>
    <row r="522" spans="5:34" ht="24" customHeight="1">
      <c r="E522" s="512"/>
      <c r="AH522" s="204" t="str">
        <f t="shared" si="9"/>
        <v/>
      </c>
    </row>
    <row r="523" spans="5:34" ht="24" customHeight="1">
      <c r="E523" s="512"/>
      <c r="AH523" s="204" t="str">
        <f t="shared" si="9"/>
        <v/>
      </c>
    </row>
    <row r="524" spans="5:34" ht="24" customHeight="1">
      <c r="E524" s="512"/>
      <c r="AH524" s="204" t="str">
        <f t="shared" si="9"/>
        <v/>
      </c>
    </row>
    <row r="525" spans="5:34" ht="24" customHeight="1">
      <c r="E525" s="512"/>
      <c r="AH525" s="204" t="str">
        <f t="shared" si="9"/>
        <v/>
      </c>
    </row>
    <row r="526" spans="5:34" ht="24" customHeight="1">
      <c r="E526" s="512"/>
      <c r="AH526" s="204" t="str">
        <f t="shared" si="9"/>
        <v/>
      </c>
    </row>
    <row r="527" spans="5:34" ht="24" customHeight="1">
      <c r="E527" s="512"/>
      <c r="AH527" s="204" t="str">
        <f t="shared" si="9"/>
        <v/>
      </c>
    </row>
    <row r="528" spans="5:34" ht="24" customHeight="1">
      <c r="E528" s="512"/>
      <c r="AH528" s="204" t="str">
        <f t="shared" si="9"/>
        <v/>
      </c>
    </row>
    <row r="529" spans="5:34" ht="24" customHeight="1">
      <c r="E529" s="512"/>
      <c r="AH529" s="204" t="str">
        <f t="shared" si="9"/>
        <v/>
      </c>
    </row>
    <row r="530" spans="5:34" ht="24" customHeight="1">
      <c r="E530" s="512"/>
      <c r="AH530" s="204" t="str">
        <f t="shared" si="9"/>
        <v/>
      </c>
    </row>
    <row r="531" spans="5:34" ht="24" customHeight="1">
      <c r="E531" s="512"/>
      <c r="AH531" s="204" t="str">
        <f t="shared" si="9"/>
        <v/>
      </c>
    </row>
    <row r="532" spans="5:34" ht="24" customHeight="1">
      <c r="E532" s="512"/>
      <c r="AH532" s="204" t="str">
        <f t="shared" si="9"/>
        <v/>
      </c>
    </row>
    <row r="533" spans="5:34" ht="24" customHeight="1">
      <c r="E533" s="512"/>
      <c r="AH533" s="204" t="str">
        <f t="shared" si="9"/>
        <v/>
      </c>
    </row>
    <row r="534" spans="5:34" ht="24" customHeight="1">
      <c r="E534" s="512"/>
      <c r="AH534" s="204" t="str">
        <f t="shared" si="9"/>
        <v/>
      </c>
    </row>
    <row r="535" spans="5:34" ht="24" customHeight="1">
      <c r="E535" s="512"/>
      <c r="AH535" s="204" t="str">
        <f t="shared" si="9"/>
        <v/>
      </c>
    </row>
    <row r="536" spans="5:34" ht="24" customHeight="1">
      <c r="E536" s="512"/>
      <c r="AH536" s="204" t="str">
        <f t="shared" si="9"/>
        <v/>
      </c>
    </row>
    <row r="537" spans="5:34" ht="24" customHeight="1">
      <c r="E537" s="512"/>
      <c r="AH537" s="204" t="str">
        <f t="shared" si="9"/>
        <v/>
      </c>
    </row>
    <row r="538" spans="5:34" ht="24" customHeight="1">
      <c r="E538" s="512"/>
      <c r="AH538" s="204" t="str">
        <f t="shared" si="9"/>
        <v/>
      </c>
    </row>
    <row r="539" spans="5:34" ht="24" customHeight="1">
      <c r="E539" s="512"/>
      <c r="AH539" s="204" t="str">
        <f t="shared" si="9"/>
        <v/>
      </c>
    </row>
    <row r="540" spans="5:34" ht="24" customHeight="1">
      <c r="E540" s="512"/>
      <c r="AH540" s="204" t="str">
        <f t="shared" si="9"/>
        <v/>
      </c>
    </row>
    <row r="541" spans="5:34" ht="24" customHeight="1">
      <c r="E541" s="512"/>
      <c r="AH541" s="204" t="str">
        <f t="shared" si="9"/>
        <v/>
      </c>
    </row>
    <row r="542" spans="5:34" ht="24" customHeight="1">
      <c r="E542" s="512"/>
      <c r="AH542" s="204" t="str">
        <f t="shared" si="9"/>
        <v/>
      </c>
    </row>
    <row r="543" spans="5:34" ht="24" customHeight="1">
      <c r="E543" s="512"/>
      <c r="AH543" s="204" t="str">
        <f t="shared" si="9"/>
        <v/>
      </c>
    </row>
    <row r="544" spans="5:34" ht="24" customHeight="1">
      <c r="E544" s="512"/>
      <c r="AH544" s="204" t="str">
        <f t="shared" si="9"/>
        <v/>
      </c>
    </row>
    <row r="545" spans="5:34" ht="24" customHeight="1">
      <c r="E545" s="512"/>
      <c r="AH545" s="204" t="str">
        <f t="shared" si="9"/>
        <v/>
      </c>
    </row>
    <row r="546" spans="5:34" ht="24" customHeight="1">
      <c r="E546" s="512"/>
      <c r="AH546" s="204" t="str">
        <f t="shared" si="9"/>
        <v/>
      </c>
    </row>
    <row r="547" spans="5:34" ht="24" customHeight="1">
      <c r="E547" s="512"/>
      <c r="AH547" s="204" t="str">
        <f t="shared" si="9"/>
        <v/>
      </c>
    </row>
    <row r="548" spans="5:34" ht="24" customHeight="1">
      <c r="E548" s="512"/>
      <c r="AH548" s="204" t="str">
        <f t="shared" si="9"/>
        <v/>
      </c>
    </row>
    <row r="549" spans="5:34" ht="24" customHeight="1">
      <c r="E549" s="512"/>
      <c r="AH549" s="204" t="str">
        <f t="shared" si="9"/>
        <v/>
      </c>
    </row>
    <row r="550" spans="5:34" ht="24" customHeight="1">
      <c r="E550" s="512"/>
      <c r="AH550" s="204" t="str">
        <f t="shared" si="9"/>
        <v/>
      </c>
    </row>
    <row r="551" spans="5:34" ht="24" customHeight="1">
      <c r="E551" s="512"/>
      <c r="AH551" s="204" t="str">
        <f t="shared" si="9"/>
        <v/>
      </c>
    </row>
    <row r="552" spans="5:34" ht="24" customHeight="1">
      <c r="E552" s="512"/>
      <c r="AH552" s="204" t="str">
        <f t="shared" si="9"/>
        <v/>
      </c>
    </row>
    <row r="553" spans="5:34" ht="24" customHeight="1">
      <c r="E553" s="512"/>
      <c r="AH553" s="204" t="str">
        <f t="shared" si="9"/>
        <v/>
      </c>
    </row>
    <row r="554" spans="5:34" ht="24" customHeight="1">
      <c r="E554" s="512"/>
      <c r="AH554" s="204" t="str">
        <f t="shared" si="9"/>
        <v/>
      </c>
    </row>
    <row r="555" spans="5:34" ht="24" customHeight="1">
      <c r="E555" s="512"/>
      <c r="AH555" s="204" t="str">
        <f t="shared" si="9"/>
        <v/>
      </c>
    </row>
    <row r="556" spans="5:34" ht="24" customHeight="1">
      <c r="E556" s="512"/>
      <c r="AH556" s="204" t="str">
        <f t="shared" si="9"/>
        <v/>
      </c>
    </row>
    <row r="557" spans="5:34" ht="24" customHeight="1">
      <c r="E557" s="512"/>
      <c r="AH557" s="204" t="str">
        <f t="shared" si="9"/>
        <v/>
      </c>
    </row>
    <row r="558" spans="5:34" ht="24" customHeight="1">
      <c r="E558" s="512"/>
      <c r="AH558" s="204" t="str">
        <f t="shared" si="9"/>
        <v/>
      </c>
    </row>
    <row r="559" spans="5:34" ht="24" customHeight="1">
      <c r="E559" s="512"/>
      <c r="AH559" s="204" t="str">
        <f t="shared" si="9"/>
        <v/>
      </c>
    </row>
    <row r="560" spans="5:34" ht="24" customHeight="1">
      <c r="E560" s="512"/>
      <c r="AH560" s="204" t="str">
        <f t="shared" si="9"/>
        <v/>
      </c>
    </row>
    <row r="561" spans="5:34" ht="24" customHeight="1">
      <c r="E561" s="512"/>
      <c r="AH561" s="204" t="str">
        <f t="shared" si="9"/>
        <v/>
      </c>
    </row>
    <row r="562" spans="5:34" ht="24" customHeight="1">
      <c r="E562" s="512"/>
      <c r="AH562" s="204" t="str">
        <f t="shared" si="9"/>
        <v/>
      </c>
    </row>
    <row r="563" spans="5:34" ht="24" customHeight="1">
      <c r="E563" s="512"/>
      <c r="AH563" s="204" t="str">
        <f t="shared" si="9"/>
        <v/>
      </c>
    </row>
    <row r="564" spans="5:34" ht="24" customHeight="1">
      <c r="E564" s="512"/>
      <c r="AH564" s="204" t="str">
        <f t="shared" si="9"/>
        <v/>
      </c>
    </row>
    <row r="565" spans="5:34" ht="24" customHeight="1">
      <c r="E565" s="512"/>
      <c r="AH565" s="204" t="str">
        <f t="shared" si="9"/>
        <v/>
      </c>
    </row>
    <row r="566" spans="5:34" ht="24" customHeight="1">
      <c r="E566" s="512"/>
      <c r="AH566" s="204" t="str">
        <f t="shared" si="9"/>
        <v/>
      </c>
    </row>
    <row r="567" spans="5:34" ht="24" customHeight="1">
      <c r="E567" s="512"/>
      <c r="AH567" s="204" t="str">
        <f t="shared" si="9"/>
        <v/>
      </c>
    </row>
    <row r="568" spans="5:34" ht="24" customHeight="1">
      <c r="E568" s="512"/>
      <c r="AH568" s="204" t="str">
        <f t="shared" si="9"/>
        <v/>
      </c>
    </row>
    <row r="569" spans="5:34" ht="24" customHeight="1">
      <c r="E569" s="512"/>
      <c r="AH569" s="204" t="str">
        <f t="shared" si="9"/>
        <v/>
      </c>
    </row>
    <row r="570" spans="5:34" ht="24" customHeight="1">
      <c r="E570" s="512"/>
      <c r="AH570" s="204" t="str">
        <f t="shared" si="9"/>
        <v/>
      </c>
    </row>
    <row r="571" spans="5:34" ht="24" customHeight="1">
      <c r="E571" s="512"/>
      <c r="AH571" s="204" t="str">
        <f t="shared" si="9"/>
        <v/>
      </c>
    </row>
    <row r="572" spans="5:34" ht="24" customHeight="1">
      <c r="E572" s="512"/>
      <c r="AH572" s="204" t="str">
        <f t="shared" si="9"/>
        <v/>
      </c>
    </row>
    <row r="573" spans="5:34" ht="24" customHeight="1">
      <c r="E573" s="512"/>
      <c r="AH573" s="204" t="str">
        <f t="shared" si="9"/>
        <v/>
      </c>
    </row>
    <row r="574" spans="5:34" ht="24" customHeight="1">
      <c r="E574" s="512"/>
      <c r="AH574" s="204" t="str">
        <f t="shared" si="9"/>
        <v/>
      </c>
    </row>
    <row r="575" spans="5:34" ht="24" customHeight="1">
      <c r="E575" s="512"/>
      <c r="AH575" s="204" t="str">
        <f t="shared" si="9"/>
        <v/>
      </c>
    </row>
    <row r="576" spans="5:34" ht="24" customHeight="1">
      <c r="E576" s="512"/>
      <c r="AH576" s="204" t="str">
        <f t="shared" si="9"/>
        <v/>
      </c>
    </row>
    <row r="577" spans="5:34" ht="24" customHeight="1">
      <c r="E577" s="512"/>
      <c r="AH577" s="204" t="str">
        <f t="shared" si="9"/>
        <v/>
      </c>
    </row>
    <row r="578" spans="5:34" ht="24" customHeight="1">
      <c r="E578" s="512"/>
      <c r="AH578" s="204" t="str">
        <f t="shared" si="9"/>
        <v/>
      </c>
    </row>
    <row r="579" spans="5:34" ht="24" customHeight="1">
      <c r="E579" s="512"/>
      <c r="AH579" s="204" t="str">
        <f t="shared" si="9"/>
        <v/>
      </c>
    </row>
    <row r="580" spans="5:34" ht="24" customHeight="1">
      <c r="E580" s="512"/>
      <c r="AH580" s="204" t="str">
        <f t="shared" si="9"/>
        <v/>
      </c>
    </row>
    <row r="581" spans="5:34" ht="24" customHeight="1">
      <c r="E581" s="512"/>
      <c r="AH581" s="204" t="str">
        <f t="shared" si="9"/>
        <v/>
      </c>
    </row>
    <row r="582" spans="5:34" ht="24" customHeight="1">
      <c r="E582" s="512"/>
      <c r="AH582" s="204" t="str">
        <f t="shared" si="9"/>
        <v/>
      </c>
    </row>
    <row r="583" spans="5:34" ht="24" customHeight="1">
      <c r="E583" s="512"/>
      <c r="AH583" s="204" t="str">
        <f t="shared" ref="AH583:AH646" si="10">IF(B583="","",B583)</f>
        <v/>
      </c>
    </row>
    <row r="584" spans="5:34" ht="24" customHeight="1">
      <c r="E584" s="512"/>
      <c r="AH584" s="204" t="str">
        <f t="shared" si="10"/>
        <v/>
      </c>
    </row>
    <row r="585" spans="5:34" ht="24" customHeight="1">
      <c r="E585" s="512"/>
      <c r="AH585" s="204" t="str">
        <f t="shared" si="10"/>
        <v/>
      </c>
    </row>
    <row r="586" spans="5:34" ht="24" customHeight="1">
      <c r="E586" s="512"/>
      <c r="AH586" s="204" t="str">
        <f t="shared" si="10"/>
        <v/>
      </c>
    </row>
    <row r="587" spans="5:34" ht="24" customHeight="1">
      <c r="E587" s="512"/>
      <c r="AH587" s="204" t="str">
        <f t="shared" si="10"/>
        <v/>
      </c>
    </row>
    <row r="588" spans="5:34" ht="24" customHeight="1">
      <c r="E588" s="512"/>
      <c r="AH588" s="204" t="str">
        <f t="shared" si="10"/>
        <v/>
      </c>
    </row>
    <row r="589" spans="5:34" ht="24" customHeight="1">
      <c r="E589" s="512"/>
      <c r="AH589" s="204" t="str">
        <f t="shared" si="10"/>
        <v/>
      </c>
    </row>
    <row r="590" spans="5:34" ht="24" customHeight="1">
      <c r="E590" s="512"/>
      <c r="AH590" s="204" t="str">
        <f t="shared" si="10"/>
        <v/>
      </c>
    </row>
    <row r="591" spans="5:34" ht="24" customHeight="1">
      <c r="E591" s="512"/>
      <c r="AH591" s="204" t="str">
        <f t="shared" si="10"/>
        <v/>
      </c>
    </row>
    <row r="592" spans="5:34" ht="24" customHeight="1">
      <c r="E592" s="512"/>
      <c r="AH592" s="204" t="str">
        <f t="shared" si="10"/>
        <v/>
      </c>
    </row>
    <row r="593" spans="5:34" ht="24" customHeight="1">
      <c r="E593" s="512"/>
      <c r="AH593" s="204" t="str">
        <f t="shared" si="10"/>
        <v/>
      </c>
    </row>
    <row r="594" spans="5:34" ht="24" customHeight="1">
      <c r="E594" s="512"/>
      <c r="AH594" s="204" t="str">
        <f t="shared" si="10"/>
        <v/>
      </c>
    </row>
    <row r="595" spans="5:34" ht="24" customHeight="1">
      <c r="E595" s="512"/>
      <c r="AH595" s="204" t="str">
        <f t="shared" si="10"/>
        <v/>
      </c>
    </row>
    <row r="596" spans="5:34" ht="24" customHeight="1">
      <c r="E596" s="512"/>
      <c r="AH596" s="204" t="str">
        <f t="shared" si="10"/>
        <v/>
      </c>
    </row>
    <row r="597" spans="5:34" ht="24" customHeight="1">
      <c r="E597" s="512"/>
      <c r="AH597" s="204" t="str">
        <f t="shared" si="10"/>
        <v/>
      </c>
    </row>
    <row r="598" spans="5:34" ht="24" customHeight="1">
      <c r="E598" s="512"/>
      <c r="AH598" s="204" t="str">
        <f t="shared" si="10"/>
        <v/>
      </c>
    </row>
    <row r="599" spans="5:34" ht="24" customHeight="1">
      <c r="E599" s="512"/>
      <c r="AH599" s="204" t="str">
        <f t="shared" si="10"/>
        <v/>
      </c>
    </row>
    <row r="600" spans="5:34" ht="24" customHeight="1">
      <c r="E600" s="512"/>
      <c r="AH600" s="204" t="str">
        <f t="shared" si="10"/>
        <v/>
      </c>
    </row>
    <row r="601" spans="5:34" ht="24" customHeight="1">
      <c r="E601" s="512"/>
      <c r="AH601" s="204" t="str">
        <f t="shared" si="10"/>
        <v/>
      </c>
    </row>
    <row r="602" spans="5:34" ht="24" customHeight="1">
      <c r="E602" s="512"/>
      <c r="AH602" s="204" t="str">
        <f t="shared" si="10"/>
        <v/>
      </c>
    </row>
    <row r="603" spans="5:34" ht="24" customHeight="1">
      <c r="E603" s="512"/>
      <c r="AH603" s="204" t="str">
        <f t="shared" si="10"/>
        <v/>
      </c>
    </row>
    <row r="604" spans="5:34" ht="24" customHeight="1">
      <c r="E604" s="512"/>
      <c r="AH604" s="204" t="str">
        <f t="shared" si="10"/>
        <v/>
      </c>
    </row>
    <row r="605" spans="5:34" ht="24" customHeight="1">
      <c r="E605" s="512"/>
      <c r="AH605" s="204" t="str">
        <f t="shared" si="10"/>
        <v/>
      </c>
    </row>
    <row r="606" spans="5:34" ht="24" customHeight="1">
      <c r="E606" s="512"/>
      <c r="AH606" s="204" t="str">
        <f t="shared" si="10"/>
        <v/>
      </c>
    </row>
    <row r="607" spans="5:34" ht="24" customHeight="1">
      <c r="E607" s="512"/>
      <c r="AH607" s="204" t="str">
        <f t="shared" si="10"/>
        <v/>
      </c>
    </row>
    <row r="608" spans="5:34" ht="24" customHeight="1">
      <c r="E608" s="512"/>
      <c r="AH608" s="204" t="str">
        <f t="shared" si="10"/>
        <v/>
      </c>
    </row>
    <row r="609" spans="5:34" ht="24" customHeight="1">
      <c r="E609" s="512"/>
      <c r="AH609" s="204" t="str">
        <f t="shared" si="10"/>
        <v/>
      </c>
    </row>
    <row r="610" spans="5:34" ht="24" customHeight="1">
      <c r="E610" s="512"/>
      <c r="AH610" s="204" t="str">
        <f t="shared" si="10"/>
        <v/>
      </c>
    </row>
    <row r="611" spans="5:34" ht="24" customHeight="1">
      <c r="E611" s="512"/>
      <c r="AH611" s="204" t="str">
        <f t="shared" si="10"/>
        <v/>
      </c>
    </row>
    <row r="612" spans="5:34" ht="24" customHeight="1">
      <c r="E612" s="512"/>
      <c r="AH612" s="204" t="str">
        <f t="shared" si="10"/>
        <v/>
      </c>
    </row>
    <row r="613" spans="5:34" ht="24" customHeight="1">
      <c r="E613" s="512"/>
      <c r="AH613" s="204" t="str">
        <f t="shared" si="10"/>
        <v/>
      </c>
    </row>
    <row r="614" spans="5:34" ht="24" customHeight="1">
      <c r="E614" s="512"/>
      <c r="AH614" s="204" t="str">
        <f t="shared" si="10"/>
        <v/>
      </c>
    </row>
    <row r="615" spans="5:34" ht="24" customHeight="1">
      <c r="E615" s="512"/>
      <c r="AH615" s="204" t="str">
        <f t="shared" si="10"/>
        <v/>
      </c>
    </row>
    <row r="616" spans="5:34" ht="24" customHeight="1">
      <c r="E616" s="512"/>
      <c r="AH616" s="204" t="str">
        <f t="shared" si="10"/>
        <v/>
      </c>
    </row>
    <row r="617" spans="5:34" ht="24" customHeight="1">
      <c r="E617" s="512"/>
      <c r="AH617" s="204" t="str">
        <f t="shared" si="10"/>
        <v/>
      </c>
    </row>
    <row r="618" spans="5:34" ht="24" customHeight="1">
      <c r="E618" s="512"/>
      <c r="AH618" s="204" t="str">
        <f t="shared" si="10"/>
        <v/>
      </c>
    </row>
    <row r="619" spans="5:34" ht="24" customHeight="1">
      <c r="E619" s="512"/>
      <c r="AH619" s="204" t="str">
        <f t="shared" si="10"/>
        <v/>
      </c>
    </row>
    <row r="620" spans="5:34" ht="24" customHeight="1">
      <c r="E620" s="512"/>
      <c r="AH620" s="204" t="str">
        <f t="shared" si="10"/>
        <v/>
      </c>
    </row>
    <row r="621" spans="5:34" ht="24" customHeight="1">
      <c r="E621" s="512"/>
      <c r="AH621" s="204" t="str">
        <f t="shared" si="10"/>
        <v/>
      </c>
    </row>
    <row r="622" spans="5:34" ht="24" customHeight="1">
      <c r="E622" s="512"/>
      <c r="AH622" s="204" t="str">
        <f t="shared" si="10"/>
        <v/>
      </c>
    </row>
    <row r="623" spans="5:34" ht="24" customHeight="1">
      <c r="E623" s="512"/>
      <c r="AH623" s="204" t="str">
        <f t="shared" si="10"/>
        <v/>
      </c>
    </row>
    <row r="624" spans="5:34" ht="24" customHeight="1">
      <c r="E624" s="512"/>
      <c r="AH624" s="204" t="str">
        <f t="shared" si="10"/>
        <v/>
      </c>
    </row>
    <row r="625" spans="5:34" ht="24" customHeight="1">
      <c r="E625" s="512"/>
      <c r="AH625" s="204" t="str">
        <f t="shared" si="10"/>
        <v/>
      </c>
    </row>
    <row r="626" spans="5:34" ht="24" customHeight="1">
      <c r="E626" s="512"/>
      <c r="AH626" s="204" t="str">
        <f t="shared" si="10"/>
        <v/>
      </c>
    </row>
    <row r="627" spans="5:34" ht="24" customHeight="1">
      <c r="E627" s="512"/>
      <c r="AH627" s="204" t="str">
        <f t="shared" si="10"/>
        <v/>
      </c>
    </row>
    <row r="628" spans="5:34" ht="24" customHeight="1">
      <c r="E628" s="512"/>
      <c r="AH628" s="204" t="str">
        <f t="shared" si="10"/>
        <v/>
      </c>
    </row>
    <row r="629" spans="5:34" ht="24" customHeight="1">
      <c r="E629" s="512"/>
      <c r="AH629" s="204" t="str">
        <f t="shared" si="10"/>
        <v/>
      </c>
    </row>
    <row r="630" spans="5:34" ht="24" customHeight="1">
      <c r="E630" s="512"/>
      <c r="AH630" s="204" t="str">
        <f t="shared" si="10"/>
        <v/>
      </c>
    </row>
    <row r="631" spans="5:34" ht="24" customHeight="1">
      <c r="E631" s="512"/>
      <c r="AH631" s="204" t="str">
        <f t="shared" si="10"/>
        <v/>
      </c>
    </row>
    <row r="632" spans="5:34" ht="24" customHeight="1">
      <c r="E632" s="512"/>
      <c r="AH632" s="204" t="str">
        <f t="shared" si="10"/>
        <v/>
      </c>
    </row>
    <row r="633" spans="5:34" ht="24" customHeight="1">
      <c r="E633" s="512"/>
      <c r="AH633" s="204" t="str">
        <f t="shared" si="10"/>
        <v/>
      </c>
    </row>
    <row r="634" spans="5:34" ht="24" customHeight="1">
      <c r="E634" s="512"/>
      <c r="AH634" s="204" t="str">
        <f t="shared" si="10"/>
        <v/>
      </c>
    </row>
    <row r="635" spans="5:34" ht="24" customHeight="1">
      <c r="E635" s="512"/>
      <c r="AH635" s="204" t="str">
        <f t="shared" si="10"/>
        <v/>
      </c>
    </row>
    <row r="636" spans="5:34" ht="24" customHeight="1">
      <c r="E636" s="512"/>
      <c r="AH636" s="204" t="str">
        <f t="shared" si="10"/>
        <v/>
      </c>
    </row>
    <row r="637" spans="5:34" ht="24" customHeight="1">
      <c r="E637" s="512"/>
      <c r="AH637" s="204" t="str">
        <f t="shared" si="10"/>
        <v/>
      </c>
    </row>
    <row r="638" spans="5:34" ht="24" customHeight="1">
      <c r="E638" s="512"/>
      <c r="AH638" s="204" t="str">
        <f t="shared" si="10"/>
        <v/>
      </c>
    </row>
    <row r="639" spans="5:34" ht="24" customHeight="1">
      <c r="E639" s="512"/>
      <c r="AH639" s="204" t="str">
        <f t="shared" si="10"/>
        <v/>
      </c>
    </row>
    <row r="640" spans="5:34" ht="24" customHeight="1">
      <c r="E640" s="512"/>
      <c r="AH640" s="204" t="str">
        <f t="shared" si="10"/>
        <v/>
      </c>
    </row>
    <row r="641" spans="2:34" ht="24" customHeight="1">
      <c r="E641" s="512"/>
      <c r="AH641" s="204" t="str">
        <f t="shared" si="10"/>
        <v/>
      </c>
    </row>
    <row r="642" spans="2:34" ht="24" customHeight="1">
      <c r="E642" s="512"/>
      <c r="AH642" s="204" t="str">
        <f t="shared" si="10"/>
        <v/>
      </c>
    </row>
    <row r="643" spans="2:34" ht="24" customHeight="1">
      <c r="E643" s="512"/>
      <c r="AH643" s="204" t="str">
        <f t="shared" si="10"/>
        <v/>
      </c>
    </row>
    <row r="644" spans="2:34" ht="24" customHeight="1">
      <c r="E644" s="512"/>
      <c r="AH644" s="204" t="str">
        <f t="shared" si="10"/>
        <v/>
      </c>
    </row>
    <row r="645" spans="2:34" ht="24" customHeight="1">
      <c r="E645" s="512"/>
      <c r="AH645" s="204" t="str">
        <f t="shared" si="10"/>
        <v/>
      </c>
    </row>
    <row r="646" spans="2:34" ht="24" customHeight="1">
      <c r="E646" s="512"/>
      <c r="AH646" s="204" t="str">
        <f t="shared" si="10"/>
        <v/>
      </c>
    </row>
    <row r="647" spans="2:34" ht="24" customHeight="1">
      <c r="E647" s="512"/>
      <c r="AH647" s="204" t="str">
        <f t="shared" ref="AH647:AH710" si="11">IF(B647="","",B647)</f>
        <v/>
      </c>
    </row>
    <row r="648" spans="2:34" ht="24" customHeight="1">
      <c r="E648" s="512"/>
      <c r="AH648" s="204" t="str">
        <f t="shared" si="11"/>
        <v/>
      </c>
    </row>
    <row r="649" spans="2:34" ht="24" customHeight="1">
      <c r="E649" s="512"/>
      <c r="AH649" s="204" t="str">
        <f t="shared" si="11"/>
        <v/>
      </c>
    </row>
    <row r="650" spans="2:34" ht="24" customHeight="1">
      <c r="E650" s="512"/>
      <c r="AH650" s="204" t="str">
        <f t="shared" si="11"/>
        <v/>
      </c>
    </row>
    <row r="651" spans="2:34" ht="24" customHeight="1">
      <c r="E651" s="512"/>
      <c r="AH651" s="204" t="str">
        <f t="shared" si="11"/>
        <v/>
      </c>
    </row>
    <row r="652" spans="2:34" ht="24" customHeight="1">
      <c r="E652" s="512"/>
      <c r="AH652" s="204" t="str">
        <f t="shared" si="11"/>
        <v/>
      </c>
    </row>
    <row r="653" spans="2:34" ht="24" customHeight="1">
      <c r="E653" s="512"/>
      <c r="AH653" s="204" t="str">
        <f t="shared" si="11"/>
        <v/>
      </c>
    </row>
    <row r="654" spans="2:34" ht="24" customHeight="1">
      <c r="E654" s="512"/>
      <c r="AH654" s="204" t="str">
        <f t="shared" si="11"/>
        <v/>
      </c>
    </row>
    <row r="655" spans="2:34" s="3" customFormat="1" ht="23.25">
      <c r="B655" s="510"/>
      <c r="C655" s="511"/>
      <c r="D655" s="512"/>
      <c r="E655" s="512"/>
      <c r="F655" s="510"/>
      <c r="G655" s="510"/>
      <c r="H655" s="510"/>
      <c r="I655" s="510"/>
      <c r="J655" s="510"/>
      <c r="K655" s="510"/>
      <c r="L655" s="510"/>
      <c r="M655" s="510"/>
      <c r="N655" s="510"/>
      <c r="O655" s="510"/>
      <c r="P655" s="672"/>
      <c r="Q655" s="682"/>
      <c r="R655" s="672"/>
      <c r="S655" s="1087"/>
      <c r="T655" s="1087"/>
      <c r="U655" s="1087"/>
      <c r="V655" s="1087"/>
      <c r="W655" s="1086"/>
      <c r="X655" s="1086"/>
      <c r="Y655" s="1017"/>
      <c r="Z655" s="1017"/>
      <c r="AA655" s="1082"/>
      <c r="AB655" s="1011"/>
      <c r="AC655" s="514"/>
      <c r="AD655" s="514"/>
      <c r="AE655" s="515"/>
      <c r="AF655" s="510"/>
      <c r="AG655" s="510"/>
      <c r="AH655" s="204" t="str">
        <f t="shared" si="11"/>
        <v/>
      </c>
    </row>
    <row r="656" spans="2:34" ht="24" customHeight="1">
      <c r="E656" s="512"/>
      <c r="AH656" s="204" t="str">
        <f t="shared" si="11"/>
        <v/>
      </c>
    </row>
    <row r="657" spans="5:34" ht="24" customHeight="1">
      <c r="E657" s="512"/>
      <c r="AH657" s="204" t="str">
        <f t="shared" si="11"/>
        <v/>
      </c>
    </row>
    <row r="658" spans="5:34" ht="24" customHeight="1">
      <c r="E658" s="512"/>
      <c r="AH658" s="204" t="str">
        <f t="shared" si="11"/>
        <v/>
      </c>
    </row>
    <row r="659" spans="5:34" ht="24" customHeight="1">
      <c r="E659" s="512"/>
      <c r="AH659" s="204" t="str">
        <f t="shared" si="11"/>
        <v/>
      </c>
    </row>
    <row r="660" spans="5:34" ht="24" customHeight="1">
      <c r="E660" s="512"/>
      <c r="AH660" s="204" t="str">
        <f t="shared" si="11"/>
        <v/>
      </c>
    </row>
    <row r="661" spans="5:34" ht="24" customHeight="1">
      <c r="E661" s="512"/>
      <c r="AH661" s="204" t="str">
        <f t="shared" si="11"/>
        <v/>
      </c>
    </row>
    <row r="662" spans="5:34" ht="24" customHeight="1">
      <c r="E662" s="512"/>
      <c r="AH662" s="204" t="str">
        <f t="shared" si="11"/>
        <v/>
      </c>
    </row>
    <row r="663" spans="5:34" ht="24" customHeight="1">
      <c r="E663" s="512"/>
      <c r="AH663" s="204" t="str">
        <f t="shared" si="11"/>
        <v/>
      </c>
    </row>
    <row r="664" spans="5:34" ht="24" customHeight="1">
      <c r="E664" s="512"/>
      <c r="AH664" s="204" t="str">
        <f t="shared" si="11"/>
        <v/>
      </c>
    </row>
    <row r="665" spans="5:34" ht="24" customHeight="1">
      <c r="E665" s="512"/>
      <c r="AH665" s="204" t="str">
        <f t="shared" si="11"/>
        <v/>
      </c>
    </row>
    <row r="666" spans="5:34" ht="24" customHeight="1">
      <c r="E666" s="512"/>
      <c r="AH666" s="204" t="str">
        <f t="shared" si="11"/>
        <v/>
      </c>
    </row>
    <row r="667" spans="5:34" ht="24" customHeight="1">
      <c r="E667" s="512"/>
      <c r="AH667" s="204" t="str">
        <f t="shared" si="11"/>
        <v/>
      </c>
    </row>
    <row r="668" spans="5:34" ht="24" customHeight="1">
      <c r="E668" s="512"/>
      <c r="AH668" s="204" t="str">
        <f t="shared" si="11"/>
        <v/>
      </c>
    </row>
    <row r="669" spans="5:34" ht="24" customHeight="1">
      <c r="E669" s="512"/>
      <c r="AH669" s="204" t="str">
        <f t="shared" si="11"/>
        <v/>
      </c>
    </row>
    <row r="670" spans="5:34" ht="24" customHeight="1">
      <c r="E670" s="512"/>
      <c r="AH670" s="204" t="str">
        <f t="shared" si="11"/>
        <v/>
      </c>
    </row>
    <row r="671" spans="5:34" ht="24" customHeight="1">
      <c r="E671" s="512"/>
      <c r="AH671" s="204" t="str">
        <f t="shared" si="11"/>
        <v/>
      </c>
    </row>
    <row r="672" spans="5:34" ht="24" customHeight="1">
      <c r="E672" s="512"/>
      <c r="AH672" s="204" t="str">
        <f t="shared" si="11"/>
        <v/>
      </c>
    </row>
    <row r="673" spans="5:34" ht="24" customHeight="1">
      <c r="E673" s="512"/>
      <c r="AH673" s="204" t="str">
        <f t="shared" si="11"/>
        <v/>
      </c>
    </row>
    <row r="674" spans="5:34" ht="24" customHeight="1">
      <c r="E674" s="512"/>
      <c r="AH674" s="204" t="str">
        <f t="shared" si="11"/>
        <v/>
      </c>
    </row>
    <row r="675" spans="5:34" ht="24" customHeight="1">
      <c r="E675" s="512"/>
      <c r="AH675" s="204" t="str">
        <f t="shared" si="11"/>
        <v/>
      </c>
    </row>
    <row r="676" spans="5:34" ht="24" customHeight="1">
      <c r="E676" s="512"/>
      <c r="AH676" s="204" t="str">
        <f t="shared" si="11"/>
        <v/>
      </c>
    </row>
    <row r="677" spans="5:34" ht="24" customHeight="1">
      <c r="E677" s="512"/>
      <c r="AH677" s="204" t="str">
        <f t="shared" si="11"/>
        <v/>
      </c>
    </row>
    <row r="678" spans="5:34" ht="24" customHeight="1">
      <c r="E678" s="512"/>
      <c r="AH678" s="204" t="str">
        <f t="shared" si="11"/>
        <v/>
      </c>
    </row>
    <row r="679" spans="5:34" ht="24" customHeight="1">
      <c r="E679" s="512"/>
      <c r="AH679" s="204" t="str">
        <f t="shared" si="11"/>
        <v/>
      </c>
    </row>
    <row r="680" spans="5:34" ht="24" customHeight="1">
      <c r="E680" s="512"/>
      <c r="AH680" s="204" t="str">
        <f t="shared" si="11"/>
        <v/>
      </c>
    </row>
    <row r="681" spans="5:34" ht="24" customHeight="1">
      <c r="E681" s="512"/>
      <c r="AH681" s="204" t="str">
        <f t="shared" si="11"/>
        <v/>
      </c>
    </row>
    <row r="682" spans="5:34" ht="24" customHeight="1">
      <c r="E682" s="512"/>
      <c r="AH682" s="204" t="str">
        <f t="shared" si="11"/>
        <v/>
      </c>
    </row>
    <row r="683" spans="5:34" ht="24" customHeight="1">
      <c r="E683" s="512"/>
      <c r="AH683" s="204" t="str">
        <f t="shared" si="11"/>
        <v/>
      </c>
    </row>
    <row r="684" spans="5:34" ht="24" customHeight="1">
      <c r="E684" s="512"/>
      <c r="AH684" s="204" t="str">
        <f t="shared" si="11"/>
        <v/>
      </c>
    </row>
    <row r="685" spans="5:34" ht="24" customHeight="1">
      <c r="E685" s="512"/>
      <c r="AH685" s="204" t="str">
        <f t="shared" si="11"/>
        <v/>
      </c>
    </row>
    <row r="686" spans="5:34" ht="24" customHeight="1">
      <c r="E686" s="512"/>
      <c r="AH686" s="204" t="str">
        <f t="shared" si="11"/>
        <v/>
      </c>
    </row>
    <row r="687" spans="5:34" ht="24" customHeight="1">
      <c r="E687" s="512"/>
      <c r="AH687" s="204" t="str">
        <f t="shared" si="11"/>
        <v/>
      </c>
    </row>
    <row r="688" spans="5:34" ht="24" customHeight="1">
      <c r="E688" s="512"/>
      <c r="AH688" s="204" t="str">
        <f t="shared" si="11"/>
        <v/>
      </c>
    </row>
    <row r="689" spans="5:34" ht="24" customHeight="1">
      <c r="E689" s="512"/>
      <c r="AH689" s="204" t="str">
        <f t="shared" si="11"/>
        <v/>
      </c>
    </row>
    <row r="690" spans="5:34" ht="24" customHeight="1">
      <c r="E690" s="512"/>
      <c r="AH690" s="204" t="str">
        <f t="shared" si="11"/>
        <v/>
      </c>
    </row>
    <row r="691" spans="5:34" ht="24" customHeight="1">
      <c r="E691" s="512"/>
      <c r="AH691" s="204" t="str">
        <f t="shared" si="11"/>
        <v/>
      </c>
    </row>
    <row r="692" spans="5:34" ht="24" customHeight="1">
      <c r="E692" s="512"/>
      <c r="AH692" s="204" t="str">
        <f t="shared" si="11"/>
        <v/>
      </c>
    </row>
    <row r="693" spans="5:34" ht="24" customHeight="1">
      <c r="E693" s="512"/>
      <c r="AH693" s="204" t="str">
        <f t="shared" si="11"/>
        <v/>
      </c>
    </row>
    <row r="694" spans="5:34" ht="24" customHeight="1">
      <c r="E694" s="512"/>
      <c r="AH694" s="204" t="str">
        <f t="shared" si="11"/>
        <v/>
      </c>
    </row>
    <row r="695" spans="5:34" ht="24" customHeight="1">
      <c r="E695" s="512"/>
      <c r="AH695" s="204" t="str">
        <f t="shared" si="11"/>
        <v/>
      </c>
    </row>
    <row r="696" spans="5:34" ht="24" customHeight="1">
      <c r="E696" s="512"/>
      <c r="AH696" s="204" t="str">
        <f t="shared" si="11"/>
        <v/>
      </c>
    </row>
    <row r="697" spans="5:34" ht="24" customHeight="1">
      <c r="E697" s="512"/>
      <c r="AH697" s="204" t="str">
        <f t="shared" si="11"/>
        <v/>
      </c>
    </row>
    <row r="698" spans="5:34" ht="24" customHeight="1">
      <c r="E698" s="512"/>
      <c r="AH698" s="204" t="str">
        <f t="shared" si="11"/>
        <v/>
      </c>
    </row>
    <row r="699" spans="5:34" ht="24" customHeight="1">
      <c r="E699" s="512"/>
      <c r="AH699" s="204" t="str">
        <f t="shared" si="11"/>
        <v/>
      </c>
    </row>
    <row r="700" spans="5:34" ht="24" customHeight="1">
      <c r="E700" s="512"/>
      <c r="AH700" s="204" t="str">
        <f t="shared" si="11"/>
        <v/>
      </c>
    </row>
    <row r="701" spans="5:34" ht="24" customHeight="1">
      <c r="E701" s="512"/>
      <c r="AH701" s="204" t="str">
        <f t="shared" si="11"/>
        <v/>
      </c>
    </row>
    <row r="702" spans="5:34" ht="24" customHeight="1">
      <c r="E702" s="512"/>
      <c r="AH702" s="204" t="str">
        <f t="shared" si="11"/>
        <v/>
      </c>
    </row>
    <row r="703" spans="5:34" ht="24" customHeight="1">
      <c r="E703" s="512"/>
      <c r="AH703" s="204" t="str">
        <f t="shared" si="11"/>
        <v/>
      </c>
    </row>
    <row r="704" spans="5:34" ht="24" customHeight="1">
      <c r="E704" s="512"/>
      <c r="AH704" s="204" t="str">
        <f t="shared" si="11"/>
        <v/>
      </c>
    </row>
    <row r="705" spans="5:34" ht="24" customHeight="1">
      <c r="E705" s="512"/>
      <c r="AH705" s="204" t="str">
        <f t="shared" si="11"/>
        <v/>
      </c>
    </row>
    <row r="706" spans="5:34" ht="24" customHeight="1">
      <c r="E706" s="512"/>
      <c r="AH706" s="204" t="str">
        <f t="shared" si="11"/>
        <v/>
      </c>
    </row>
    <row r="707" spans="5:34" ht="24" customHeight="1">
      <c r="E707" s="512"/>
      <c r="AH707" s="204" t="str">
        <f t="shared" si="11"/>
        <v/>
      </c>
    </row>
    <row r="708" spans="5:34" ht="24" customHeight="1">
      <c r="E708" s="512"/>
      <c r="AH708" s="204" t="str">
        <f t="shared" si="11"/>
        <v/>
      </c>
    </row>
    <row r="709" spans="5:34" ht="24" customHeight="1">
      <c r="E709" s="512"/>
      <c r="AH709" s="204" t="str">
        <f t="shared" si="11"/>
        <v/>
      </c>
    </row>
    <row r="710" spans="5:34" ht="24" customHeight="1">
      <c r="E710" s="512"/>
      <c r="AH710" s="204" t="str">
        <f t="shared" si="11"/>
        <v/>
      </c>
    </row>
    <row r="711" spans="5:34" ht="24" customHeight="1">
      <c r="E711" s="512"/>
      <c r="AH711" s="204" t="str">
        <f t="shared" ref="AH711:AH774" si="12">IF(B711="","",B711)</f>
        <v/>
      </c>
    </row>
    <row r="712" spans="5:34" ht="24" customHeight="1">
      <c r="E712" s="512"/>
      <c r="AH712" s="204" t="str">
        <f t="shared" si="12"/>
        <v/>
      </c>
    </row>
    <row r="713" spans="5:34" ht="24" customHeight="1">
      <c r="E713" s="512"/>
      <c r="AH713" s="204" t="str">
        <f t="shared" si="12"/>
        <v/>
      </c>
    </row>
    <row r="714" spans="5:34" ht="24" customHeight="1">
      <c r="E714" s="512"/>
      <c r="AH714" s="204" t="str">
        <f t="shared" si="12"/>
        <v/>
      </c>
    </row>
    <row r="715" spans="5:34" ht="24" customHeight="1">
      <c r="E715" s="512"/>
      <c r="AH715" s="204" t="str">
        <f t="shared" si="12"/>
        <v/>
      </c>
    </row>
    <row r="716" spans="5:34" ht="24" customHeight="1">
      <c r="E716" s="512"/>
      <c r="AH716" s="204" t="str">
        <f t="shared" si="12"/>
        <v/>
      </c>
    </row>
    <row r="717" spans="5:34" ht="24" customHeight="1">
      <c r="E717" s="512"/>
      <c r="AH717" s="204" t="str">
        <f t="shared" si="12"/>
        <v/>
      </c>
    </row>
    <row r="718" spans="5:34" ht="24" customHeight="1">
      <c r="E718" s="512"/>
      <c r="AH718" s="204" t="str">
        <f t="shared" si="12"/>
        <v/>
      </c>
    </row>
    <row r="719" spans="5:34" ht="24" customHeight="1">
      <c r="E719" s="512"/>
      <c r="AH719" s="204" t="str">
        <f t="shared" si="12"/>
        <v/>
      </c>
    </row>
    <row r="720" spans="5:34" ht="24" customHeight="1">
      <c r="E720" s="512"/>
      <c r="AH720" s="204" t="str">
        <f t="shared" si="12"/>
        <v/>
      </c>
    </row>
    <row r="721" spans="5:34" ht="24" customHeight="1">
      <c r="E721" s="512"/>
      <c r="AH721" s="204" t="str">
        <f t="shared" si="12"/>
        <v/>
      </c>
    </row>
    <row r="722" spans="5:34" ht="24" customHeight="1">
      <c r="E722" s="512"/>
      <c r="AH722" s="204" t="str">
        <f t="shared" si="12"/>
        <v/>
      </c>
    </row>
    <row r="723" spans="5:34" ht="24" customHeight="1">
      <c r="E723" s="512"/>
      <c r="AH723" s="204" t="str">
        <f t="shared" si="12"/>
        <v/>
      </c>
    </row>
    <row r="724" spans="5:34" ht="24" customHeight="1">
      <c r="E724" s="512"/>
      <c r="AH724" s="204" t="str">
        <f t="shared" si="12"/>
        <v/>
      </c>
    </row>
    <row r="725" spans="5:34" ht="24" customHeight="1">
      <c r="E725" s="512"/>
      <c r="AH725" s="204" t="str">
        <f t="shared" si="12"/>
        <v/>
      </c>
    </row>
    <row r="726" spans="5:34" ht="24" customHeight="1">
      <c r="E726" s="512"/>
      <c r="AH726" s="204" t="str">
        <f t="shared" si="12"/>
        <v/>
      </c>
    </row>
    <row r="727" spans="5:34" ht="24" customHeight="1">
      <c r="E727" s="512"/>
      <c r="AH727" s="204" t="str">
        <f t="shared" si="12"/>
        <v/>
      </c>
    </row>
    <row r="728" spans="5:34" ht="24" customHeight="1">
      <c r="E728" s="512"/>
      <c r="AH728" s="204" t="str">
        <f t="shared" si="12"/>
        <v/>
      </c>
    </row>
    <row r="729" spans="5:34" ht="24" customHeight="1">
      <c r="E729" s="512"/>
      <c r="AH729" s="204" t="str">
        <f t="shared" si="12"/>
        <v/>
      </c>
    </row>
    <row r="730" spans="5:34" ht="24" customHeight="1">
      <c r="E730" s="512"/>
      <c r="AH730" s="204" t="str">
        <f t="shared" si="12"/>
        <v/>
      </c>
    </row>
    <row r="731" spans="5:34" ht="24" customHeight="1">
      <c r="E731" s="512"/>
      <c r="AH731" s="204" t="str">
        <f t="shared" si="12"/>
        <v/>
      </c>
    </row>
    <row r="732" spans="5:34" ht="24" customHeight="1">
      <c r="E732" s="512"/>
      <c r="AH732" s="204" t="str">
        <f t="shared" si="12"/>
        <v/>
      </c>
    </row>
    <row r="733" spans="5:34" ht="24" customHeight="1">
      <c r="E733" s="512"/>
      <c r="AH733" s="204" t="str">
        <f t="shared" si="12"/>
        <v/>
      </c>
    </row>
    <row r="734" spans="5:34" ht="24" customHeight="1">
      <c r="E734" s="512"/>
      <c r="AH734" s="204" t="str">
        <f t="shared" si="12"/>
        <v/>
      </c>
    </row>
    <row r="735" spans="5:34" ht="24" customHeight="1">
      <c r="E735" s="512"/>
      <c r="AH735" s="204" t="str">
        <f t="shared" si="12"/>
        <v/>
      </c>
    </row>
    <row r="736" spans="5:34" ht="24" customHeight="1">
      <c r="E736" s="512"/>
      <c r="AH736" s="204" t="str">
        <f t="shared" si="12"/>
        <v/>
      </c>
    </row>
    <row r="737" spans="5:34" ht="24" customHeight="1">
      <c r="E737" s="512"/>
      <c r="AH737" s="204" t="str">
        <f t="shared" si="12"/>
        <v/>
      </c>
    </row>
    <row r="738" spans="5:34" ht="24" customHeight="1">
      <c r="E738" s="512"/>
      <c r="AH738" s="204" t="str">
        <f t="shared" si="12"/>
        <v/>
      </c>
    </row>
    <row r="739" spans="5:34" ht="24" customHeight="1">
      <c r="E739" s="512"/>
      <c r="AH739" s="204" t="str">
        <f t="shared" si="12"/>
        <v/>
      </c>
    </row>
    <row r="740" spans="5:34" ht="24" customHeight="1">
      <c r="E740" s="512"/>
      <c r="AH740" s="204" t="str">
        <f t="shared" si="12"/>
        <v/>
      </c>
    </row>
    <row r="741" spans="5:34" ht="24" customHeight="1">
      <c r="E741" s="512"/>
      <c r="AH741" s="204" t="str">
        <f t="shared" si="12"/>
        <v/>
      </c>
    </row>
    <row r="742" spans="5:34" ht="24" customHeight="1">
      <c r="E742" s="512"/>
      <c r="AH742" s="204" t="str">
        <f t="shared" si="12"/>
        <v/>
      </c>
    </row>
    <row r="743" spans="5:34" ht="24" customHeight="1">
      <c r="E743" s="512"/>
      <c r="AH743" s="204" t="str">
        <f t="shared" si="12"/>
        <v/>
      </c>
    </row>
    <row r="744" spans="5:34" ht="24" customHeight="1">
      <c r="E744" s="512"/>
      <c r="AH744" s="204" t="str">
        <f t="shared" si="12"/>
        <v/>
      </c>
    </row>
    <row r="745" spans="5:34" ht="24" customHeight="1">
      <c r="E745" s="512"/>
      <c r="AH745" s="204" t="str">
        <f t="shared" si="12"/>
        <v/>
      </c>
    </row>
    <row r="746" spans="5:34" ht="24" customHeight="1">
      <c r="E746" s="512"/>
      <c r="AH746" s="204" t="str">
        <f t="shared" si="12"/>
        <v/>
      </c>
    </row>
    <row r="747" spans="5:34" ht="24" customHeight="1">
      <c r="E747" s="512"/>
      <c r="AH747" s="204" t="str">
        <f t="shared" si="12"/>
        <v/>
      </c>
    </row>
    <row r="748" spans="5:34" ht="24" customHeight="1">
      <c r="E748" s="512"/>
      <c r="AH748" s="204" t="str">
        <f t="shared" si="12"/>
        <v/>
      </c>
    </row>
    <row r="749" spans="5:34" ht="24" customHeight="1">
      <c r="E749" s="512"/>
      <c r="AH749" s="204" t="str">
        <f t="shared" si="12"/>
        <v/>
      </c>
    </row>
    <row r="750" spans="5:34" ht="24" customHeight="1">
      <c r="E750" s="512"/>
      <c r="AH750" s="204" t="str">
        <f t="shared" si="12"/>
        <v/>
      </c>
    </row>
    <row r="751" spans="5:34" ht="24" customHeight="1">
      <c r="E751" s="512"/>
      <c r="AH751" s="204" t="str">
        <f t="shared" si="12"/>
        <v/>
      </c>
    </row>
    <row r="752" spans="5:34" ht="24" customHeight="1">
      <c r="E752" s="512"/>
      <c r="AH752" s="204" t="str">
        <f t="shared" si="12"/>
        <v/>
      </c>
    </row>
    <row r="753" spans="5:34" ht="24" customHeight="1">
      <c r="E753" s="512"/>
      <c r="AH753" s="204" t="str">
        <f t="shared" si="12"/>
        <v/>
      </c>
    </row>
    <row r="754" spans="5:34" ht="24" customHeight="1">
      <c r="E754" s="512"/>
      <c r="AH754" s="204" t="str">
        <f t="shared" si="12"/>
        <v/>
      </c>
    </row>
    <row r="755" spans="5:34" ht="24" customHeight="1">
      <c r="E755" s="512"/>
      <c r="AH755" s="204" t="str">
        <f t="shared" si="12"/>
        <v/>
      </c>
    </row>
    <row r="756" spans="5:34" ht="24" customHeight="1">
      <c r="E756" s="512"/>
      <c r="AH756" s="204" t="str">
        <f t="shared" si="12"/>
        <v/>
      </c>
    </row>
    <row r="757" spans="5:34" ht="24" customHeight="1">
      <c r="E757" s="512"/>
      <c r="AH757" s="204" t="str">
        <f t="shared" si="12"/>
        <v/>
      </c>
    </row>
    <row r="758" spans="5:34" ht="24" customHeight="1">
      <c r="E758" s="512"/>
      <c r="AH758" s="204" t="str">
        <f t="shared" si="12"/>
        <v/>
      </c>
    </row>
    <row r="759" spans="5:34" ht="24" customHeight="1">
      <c r="E759" s="512"/>
      <c r="AH759" s="204" t="str">
        <f t="shared" si="12"/>
        <v/>
      </c>
    </row>
    <row r="760" spans="5:34" ht="24" customHeight="1">
      <c r="E760" s="512"/>
      <c r="AH760" s="204" t="str">
        <f t="shared" si="12"/>
        <v/>
      </c>
    </row>
    <row r="761" spans="5:34" ht="24" customHeight="1">
      <c r="E761" s="512"/>
      <c r="AH761" s="204" t="str">
        <f t="shared" si="12"/>
        <v/>
      </c>
    </row>
    <row r="762" spans="5:34" ht="23.25">
      <c r="E762" s="512"/>
      <c r="Q762" s="682"/>
      <c r="AH762" s="204" t="str">
        <f t="shared" si="12"/>
        <v/>
      </c>
    </row>
    <row r="763" spans="5:34" ht="24" customHeight="1">
      <c r="E763" s="512"/>
      <c r="AH763" s="204" t="str">
        <f t="shared" si="12"/>
        <v/>
      </c>
    </row>
    <row r="764" spans="5:34" ht="23.25">
      <c r="E764" s="512"/>
      <c r="AH764" s="204" t="str">
        <f t="shared" si="12"/>
        <v/>
      </c>
    </row>
    <row r="765" spans="5:34" ht="24" customHeight="1">
      <c r="E765" s="512"/>
      <c r="AH765" s="204" t="str">
        <f t="shared" si="12"/>
        <v/>
      </c>
    </row>
    <row r="766" spans="5:34" ht="24" customHeight="1">
      <c r="E766" s="512"/>
      <c r="AH766" s="204" t="str">
        <f t="shared" si="12"/>
        <v/>
      </c>
    </row>
    <row r="767" spans="5:34" ht="24" customHeight="1">
      <c r="E767" s="512"/>
      <c r="AH767" s="204" t="str">
        <f t="shared" si="12"/>
        <v/>
      </c>
    </row>
    <row r="768" spans="5:34" ht="24" customHeight="1">
      <c r="E768" s="512"/>
      <c r="AH768" s="204" t="str">
        <f t="shared" si="12"/>
        <v/>
      </c>
    </row>
    <row r="769" spans="5:34" ht="24" customHeight="1">
      <c r="E769" s="512"/>
      <c r="AH769" s="204" t="str">
        <f t="shared" si="12"/>
        <v/>
      </c>
    </row>
    <row r="770" spans="5:34" ht="24" customHeight="1">
      <c r="E770" s="512"/>
      <c r="AH770" s="204" t="str">
        <f t="shared" si="12"/>
        <v/>
      </c>
    </row>
    <row r="771" spans="5:34" ht="24" customHeight="1">
      <c r="E771" s="512"/>
      <c r="AH771" s="204" t="str">
        <f t="shared" si="12"/>
        <v/>
      </c>
    </row>
    <row r="772" spans="5:34" ht="24" customHeight="1">
      <c r="E772" s="512"/>
      <c r="AH772" s="204" t="str">
        <f t="shared" si="12"/>
        <v/>
      </c>
    </row>
    <row r="773" spans="5:34" ht="24" customHeight="1">
      <c r="E773" s="512"/>
      <c r="AH773" s="204" t="str">
        <f t="shared" si="12"/>
        <v/>
      </c>
    </row>
    <row r="774" spans="5:34" ht="24" customHeight="1">
      <c r="E774" s="512"/>
      <c r="AH774" s="204" t="str">
        <f t="shared" si="12"/>
        <v/>
      </c>
    </row>
    <row r="775" spans="5:34" ht="24" customHeight="1">
      <c r="E775" s="512"/>
      <c r="AH775" s="204" t="str">
        <f t="shared" ref="AH775:AH838" si="13">IF(B775="","",B775)</f>
        <v/>
      </c>
    </row>
    <row r="776" spans="5:34" ht="24" customHeight="1">
      <c r="E776" s="512"/>
      <c r="AH776" s="204" t="str">
        <f t="shared" si="13"/>
        <v/>
      </c>
    </row>
    <row r="777" spans="5:34" ht="24" customHeight="1">
      <c r="E777" s="512"/>
      <c r="AH777" s="204" t="str">
        <f t="shared" si="13"/>
        <v/>
      </c>
    </row>
    <row r="778" spans="5:34" ht="24" customHeight="1">
      <c r="E778" s="512"/>
      <c r="AH778" s="204" t="str">
        <f t="shared" si="13"/>
        <v/>
      </c>
    </row>
    <row r="779" spans="5:34" ht="24" customHeight="1">
      <c r="E779" s="512"/>
      <c r="AH779" s="204" t="str">
        <f t="shared" si="13"/>
        <v/>
      </c>
    </row>
    <row r="780" spans="5:34" ht="24" customHeight="1">
      <c r="E780" s="512"/>
      <c r="AH780" s="204" t="str">
        <f t="shared" si="13"/>
        <v/>
      </c>
    </row>
    <row r="781" spans="5:34" ht="24" customHeight="1">
      <c r="E781" s="512"/>
      <c r="AH781" s="204" t="str">
        <f t="shared" si="13"/>
        <v/>
      </c>
    </row>
    <row r="782" spans="5:34" ht="24" customHeight="1">
      <c r="E782" s="512"/>
      <c r="AH782" s="204" t="str">
        <f t="shared" si="13"/>
        <v/>
      </c>
    </row>
    <row r="783" spans="5:34" ht="24" customHeight="1">
      <c r="E783" s="512"/>
      <c r="AH783" s="204" t="str">
        <f t="shared" si="13"/>
        <v/>
      </c>
    </row>
    <row r="784" spans="5:34" ht="24" customHeight="1">
      <c r="E784" s="512"/>
      <c r="AH784" s="204" t="str">
        <f t="shared" si="13"/>
        <v/>
      </c>
    </row>
    <row r="785" spans="5:34" ht="24" customHeight="1">
      <c r="E785" s="512"/>
      <c r="AH785" s="204" t="str">
        <f t="shared" si="13"/>
        <v/>
      </c>
    </row>
    <row r="786" spans="5:34" ht="24" customHeight="1">
      <c r="E786" s="512"/>
      <c r="AH786" s="204" t="str">
        <f t="shared" si="13"/>
        <v/>
      </c>
    </row>
    <row r="787" spans="5:34" ht="24" customHeight="1">
      <c r="E787" s="512"/>
      <c r="AH787" s="204" t="str">
        <f t="shared" si="13"/>
        <v/>
      </c>
    </row>
    <row r="788" spans="5:34" ht="24" customHeight="1">
      <c r="E788" s="512"/>
      <c r="AH788" s="204" t="str">
        <f t="shared" si="13"/>
        <v/>
      </c>
    </row>
    <row r="789" spans="5:34" ht="24" customHeight="1">
      <c r="E789" s="512"/>
      <c r="AH789" s="204" t="str">
        <f t="shared" si="13"/>
        <v/>
      </c>
    </row>
    <row r="790" spans="5:34" ht="24" customHeight="1">
      <c r="E790" s="512"/>
      <c r="AH790" s="204" t="str">
        <f t="shared" si="13"/>
        <v/>
      </c>
    </row>
    <row r="791" spans="5:34" ht="24" customHeight="1">
      <c r="E791" s="512"/>
      <c r="AH791" s="204" t="str">
        <f t="shared" si="13"/>
        <v/>
      </c>
    </row>
    <row r="792" spans="5:34" ht="24" customHeight="1">
      <c r="E792" s="512"/>
      <c r="AH792" s="204" t="str">
        <f t="shared" si="13"/>
        <v/>
      </c>
    </row>
    <row r="793" spans="5:34" ht="24" customHeight="1">
      <c r="E793" s="512"/>
      <c r="AH793" s="204" t="str">
        <f t="shared" si="13"/>
        <v/>
      </c>
    </row>
    <row r="794" spans="5:34" ht="24" customHeight="1">
      <c r="E794" s="512"/>
      <c r="AH794" s="204" t="str">
        <f t="shared" si="13"/>
        <v/>
      </c>
    </row>
    <row r="795" spans="5:34" ht="24" customHeight="1">
      <c r="E795" s="512"/>
      <c r="AH795" s="204" t="str">
        <f t="shared" si="13"/>
        <v/>
      </c>
    </row>
    <row r="796" spans="5:34" ht="24" customHeight="1">
      <c r="E796" s="512"/>
      <c r="AH796" s="204" t="str">
        <f t="shared" si="13"/>
        <v/>
      </c>
    </row>
    <row r="797" spans="5:34" ht="24" customHeight="1">
      <c r="E797" s="512"/>
      <c r="AH797" s="204" t="str">
        <f t="shared" si="13"/>
        <v/>
      </c>
    </row>
    <row r="798" spans="5:34" ht="24" customHeight="1">
      <c r="E798" s="512"/>
      <c r="AH798" s="204" t="str">
        <f t="shared" si="13"/>
        <v/>
      </c>
    </row>
    <row r="799" spans="5:34" ht="24" customHeight="1">
      <c r="E799" s="512"/>
      <c r="AH799" s="204" t="str">
        <f t="shared" si="13"/>
        <v/>
      </c>
    </row>
    <row r="800" spans="5:34" ht="24" customHeight="1">
      <c r="E800" s="512"/>
      <c r="AH800" s="204" t="str">
        <f t="shared" si="13"/>
        <v/>
      </c>
    </row>
    <row r="801" spans="5:34" ht="24" customHeight="1">
      <c r="E801" s="512"/>
      <c r="AH801" s="204" t="str">
        <f t="shared" si="13"/>
        <v/>
      </c>
    </row>
    <row r="802" spans="5:34" ht="24" customHeight="1">
      <c r="E802" s="512"/>
      <c r="AH802" s="204" t="str">
        <f t="shared" si="13"/>
        <v/>
      </c>
    </row>
    <row r="803" spans="5:34" ht="24" customHeight="1">
      <c r="E803" s="512"/>
      <c r="AH803" s="204" t="str">
        <f t="shared" si="13"/>
        <v/>
      </c>
    </row>
    <row r="804" spans="5:34" ht="24" customHeight="1">
      <c r="E804" s="512"/>
      <c r="AH804" s="204" t="str">
        <f t="shared" si="13"/>
        <v/>
      </c>
    </row>
    <row r="805" spans="5:34" ht="24" customHeight="1">
      <c r="E805" s="512"/>
      <c r="AH805" s="204" t="str">
        <f t="shared" si="13"/>
        <v/>
      </c>
    </row>
    <row r="806" spans="5:34" ht="24" customHeight="1">
      <c r="E806" s="512"/>
      <c r="AH806" s="204" t="str">
        <f t="shared" si="13"/>
        <v/>
      </c>
    </row>
    <row r="807" spans="5:34" ht="24" customHeight="1">
      <c r="E807" s="512"/>
      <c r="AH807" s="204" t="str">
        <f t="shared" si="13"/>
        <v/>
      </c>
    </row>
    <row r="808" spans="5:34" ht="24" customHeight="1">
      <c r="E808" s="512"/>
      <c r="AH808" s="204" t="str">
        <f t="shared" si="13"/>
        <v/>
      </c>
    </row>
    <row r="809" spans="5:34" ht="24" customHeight="1">
      <c r="E809" s="512"/>
      <c r="AH809" s="204" t="str">
        <f t="shared" si="13"/>
        <v/>
      </c>
    </row>
    <row r="810" spans="5:34" ht="24" customHeight="1">
      <c r="E810" s="512"/>
      <c r="AH810" s="204" t="str">
        <f t="shared" si="13"/>
        <v/>
      </c>
    </row>
    <row r="811" spans="5:34" ht="24" customHeight="1">
      <c r="E811" s="512"/>
      <c r="AH811" s="204" t="str">
        <f t="shared" si="13"/>
        <v/>
      </c>
    </row>
    <row r="812" spans="5:34" ht="24" customHeight="1">
      <c r="E812" s="512"/>
      <c r="AH812" s="204" t="str">
        <f t="shared" si="13"/>
        <v/>
      </c>
    </row>
    <row r="813" spans="5:34" ht="24" customHeight="1">
      <c r="E813" s="512"/>
      <c r="AH813" s="204" t="str">
        <f t="shared" si="13"/>
        <v/>
      </c>
    </row>
    <row r="814" spans="5:34" ht="24" customHeight="1">
      <c r="E814" s="512"/>
      <c r="AH814" s="204" t="str">
        <f t="shared" si="13"/>
        <v/>
      </c>
    </row>
    <row r="815" spans="5:34" ht="24" customHeight="1">
      <c r="E815" s="512"/>
      <c r="AH815" s="204" t="str">
        <f t="shared" si="13"/>
        <v/>
      </c>
    </row>
    <row r="816" spans="5:34" ht="24" customHeight="1">
      <c r="E816" s="512"/>
      <c r="AH816" s="204" t="str">
        <f t="shared" si="13"/>
        <v/>
      </c>
    </row>
    <row r="817" spans="5:34" ht="24" customHeight="1">
      <c r="E817" s="512"/>
      <c r="AH817" s="204" t="str">
        <f t="shared" si="13"/>
        <v/>
      </c>
    </row>
    <row r="818" spans="5:34" ht="24" customHeight="1">
      <c r="E818" s="512"/>
      <c r="AH818" s="204" t="str">
        <f t="shared" si="13"/>
        <v/>
      </c>
    </row>
    <row r="819" spans="5:34" ht="24" customHeight="1">
      <c r="E819" s="512"/>
      <c r="AH819" s="204" t="str">
        <f t="shared" si="13"/>
        <v/>
      </c>
    </row>
    <row r="820" spans="5:34" ht="24" customHeight="1">
      <c r="E820" s="512"/>
      <c r="AH820" s="204" t="str">
        <f t="shared" si="13"/>
        <v/>
      </c>
    </row>
    <row r="821" spans="5:34" ht="24" customHeight="1">
      <c r="E821" s="512"/>
      <c r="AH821" s="204" t="str">
        <f t="shared" si="13"/>
        <v/>
      </c>
    </row>
    <row r="822" spans="5:34" ht="24" customHeight="1">
      <c r="E822" s="512"/>
      <c r="AH822" s="204" t="str">
        <f t="shared" si="13"/>
        <v/>
      </c>
    </row>
    <row r="823" spans="5:34" ht="24" customHeight="1">
      <c r="E823" s="512"/>
      <c r="AH823" s="204" t="str">
        <f t="shared" si="13"/>
        <v/>
      </c>
    </row>
    <row r="824" spans="5:34" ht="24" customHeight="1">
      <c r="E824" s="512"/>
      <c r="AH824" s="204" t="str">
        <f t="shared" si="13"/>
        <v/>
      </c>
    </row>
    <row r="825" spans="5:34" ht="24" customHeight="1">
      <c r="E825" s="512"/>
      <c r="AH825" s="204" t="str">
        <f t="shared" si="13"/>
        <v/>
      </c>
    </row>
    <row r="826" spans="5:34" ht="24" customHeight="1">
      <c r="E826" s="512"/>
      <c r="AH826" s="204" t="str">
        <f t="shared" si="13"/>
        <v/>
      </c>
    </row>
    <row r="827" spans="5:34" ht="24" customHeight="1">
      <c r="E827" s="512"/>
      <c r="AH827" s="204" t="str">
        <f t="shared" si="13"/>
        <v/>
      </c>
    </row>
    <row r="828" spans="5:34" ht="23.25">
      <c r="E828" s="512"/>
      <c r="Q828" s="682"/>
      <c r="AH828" s="204" t="str">
        <f t="shared" si="13"/>
        <v/>
      </c>
    </row>
    <row r="829" spans="5:34" ht="24" customHeight="1">
      <c r="E829" s="512"/>
      <c r="AH829" s="204" t="str">
        <f t="shared" si="13"/>
        <v/>
      </c>
    </row>
    <row r="830" spans="5:34" ht="24" customHeight="1">
      <c r="E830" s="512"/>
      <c r="AH830" s="204" t="str">
        <f t="shared" si="13"/>
        <v/>
      </c>
    </row>
    <row r="831" spans="5:34" ht="24" customHeight="1">
      <c r="E831" s="512"/>
      <c r="AH831" s="204" t="str">
        <f t="shared" si="13"/>
        <v/>
      </c>
    </row>
    <row r="832" spans="5:34" ht="24" customHeight="1">
      <c r="E832" s="512"/>
      <c r="AH832" s="204" t="str">
        <f t="shared" si="13"/>
        <v/>
      </c>
    </row>
    <row r="833" spans="5:34" ht="24" customHeight="1">
      <c r="E833" s="512"/>
      <c r="AH833" s="204" t="str">
        <f t="shared" si="13"/>
        <v/>
      </c>
    </row>
    <row r="834" spans="5:34" ht="24" customHeight="1">
      <c r="E834" s="512"/>
      <c r="AH834" s="204" t="str">
        <f t="shared" si="13"/>
        <v/>
      </c>
    </row>
    <row r="835" spans="5:34" ht="24" customHeight="1">
      <c r="E835" s="512"/>
      <c r="AH835" s="204" t="str">
        <f t="shared" si="13"/>
        <v/>
      </c>
    </row>
    <row r="836" spans="5:34" ht="24" customHeight="1">
      <c r="E836" s="512"/>
      <c r="AH836" s="204" t="str">
        <f t="shared" si="13"/>
        <v/>
      </c>
    </row>
    <row r="837" spans="5:34" ht="24" customHeight="1">
      <c r="E837" s="512"/>
      <c r="AH837" s="204" t="str">
        <f t="shared" si="13"/>
        <v/>
      </c>
    </row>
    <row r="838" spans="5:34" ht="24" customHeight="1">
      <c r="E838" s="512"/>
      <c r="AH838" s="204" t="str">
        <f t="shared" si="13"/>
        <v/>
      </c>
    </row>
    <row r="839" spans="5:34" ht="24" customHeight="1">
      <c r="E839" s="512"/>
      <c r="AH839" s="204" t="str">
        <f t="shared" ref="AH839:AH902" si="14">IF(B839="","",B839)</f>
        <v/>
      </c>
    </row>
    <row r="840" spans="5:34" ht="24" customHeight="1">
      <c r="E840" s="512"/>
      <c r="AH840" s="204" t="str">
        <f t="shared" si="14"/>
        <v/>
      </c>
    </row>
    <row r="841" spans="5:34" ht="24" customHeight="1">
      <c r="E841" s="512"/>
      <c r="AH841" s="204" t="str">
        <f t="shared" si="14"/>
        <v/>
      </c>
    </row>
    <row r="842" spans="5:34" ht="24" customHeight="1">
      <c r="E842" s="512"/>
      <c r="AH842" s="204" t="str">
        <f t="shared" si="14"/>
        <v/>
      </c>
    </row>
    <row r="843" spans="5:34" ht="24" customHeight="1">
      <c r="E843" s="512"/>
      <c r="AH843" s="204" t="str">
        <f t="shared" si="14"/>
        <v/>
      </c>
    </row>
    <row r="844" spans="5:34" ht="24" customHeight="1">
      <c r="E844" s="512"/>
      <c r="AH844" s="204" t="str">
        <f t="shared" si="14"/>
        <v/>
      </c>
    </row>
    <row r="845" spans="5:34" ht="24" customHeight="1">
      <c r="E845" s="512"/>
      <c r="AH845" s="204" t="str">
        <f t="shared" si="14"/>
        <v/>
      </c>
    </row>
    <row r="846" spans="5:34" ht="24" customHeight="1">
      <c r="E846" s="512"/>
      <c r="AH846" s="204" t="str">
        <f t="shared" si="14"/>
        <v/>
      </c>
    </row>
    <row r="847" spans="5:34" ht="24" customHeight="1">
      <c r="E847" s="512"/>
      <c r="AH847" s="204" t="str">
        <f t="shared" si="14"/>
        <v/>
      </c>
    </row>
    <row r="848" spans="5:34" ht="24" customHeight="1">
      <c r="E848" s="512"/>
      <c r="AH848" s="204" t="str">
        <f t="shared" si="14"/>
        <v/>
      </c>
    </row>
    <row r="849" spans="5:34" ht="24" customHeight="1">
      <c r="E849" s="512"/>
      <c r="AH849" s="204" t="str">
        <f t="shared" si="14"/>
        <v/>
      </c>
    </row>
    <row r="850" spans="5:34" ht="24" customHeight="1">
      <c r="E850" s="512"/>
      <c r="AH850" s="204" t="str">
        <f t="shared" si="14"/>
        <v/>
      </c>
    </row>
    <row r="851" spans="5:34" ht="24" customHeight="1">
      <c r="E851" s="512"/>
      <c r="AH851" s="204" t="str">
        <f t="shared" si="14"/>
        <v/>
      </c>
    </row>
    <row r="852" spans="5:34" ht="24" customHeight="1">
      <c r="E852" s="512"/>
      <c r="AH852" s="204" t="str">
        <f t="shared" si="14"/>
        <v/>
      </c>
    </row>
    <row r="853" spans="5:34" ht="24" customHeight="1">
      <c r="E853" s="512"/>
      <c r="AH853" s="204" t="str">
        <f t="shared" si="14"/>
        <v/>
      </c>
    </row>
    <row r="854" spans="5:34" ht="24" customHeight="1">
      <c r="E854" s="512"/>
      <c r="AH854" s="204" t="str">
        <f t="shared" si="14"/>
        <v/>
      </c>
    </row>
    <row r="855" spans="5:34" ht="24" customHeight="1">
      <c r="E855" s="512"/>
      <c r="AH855" s="204" t="str">
        <f t="shared" si="14"/>
        <v/>
      </c>
    </row>
    <row r="856" spans="5:34" ht="24" customHeight="1">
      <c r="E856" s="512"/>
      <c r="AH856" s="204" t="str">
        <f t="shared" si="14"/>
        <v/>
      </c>
    </row>
    <row r="857" spans="5:34" ht="24" customHeight="1">
      <c r="E857" s="512"/>
      <c r="AH857" s="204" t="str">
        <f t="shared" si="14"/>
        <v/>
      </c>
    </row>
    <row r="858" spans="5:34" ht="24" customHeight="1">
      <c r="E858" s="512"/>
      <c r="AH858" s="204" t="str">
        <f t="shared" si="14"/>
        <v/>
      </c>
    </row>
    <row r="859" spans="5:34" ht="24" customHeight="1">
      <c r="E859" s="512"/>
      <c r="AH859" s="204" t="str">
        <f t="shared" si="14"/>
        <v/>
      </c>
    </row>
    <row r="860" spans="5:34" ht="24" customHeight="1">
      <c r="E860" s="512"/>
      <c r="AH860" s="204" t="str">
        <f t="shared" si="14"/>
        <v/>
      </c>
    </row>
    <row r="861" spans="5:34" ht="24" customHeight="1">
      <c r="E861" s="512"/>
      <c r="AH861" s="204" t="str">
        <f t="shared" si="14"/>
        <v/>
      </c>
    </row>
    <row r="862" spans="5:34" ht="24" customHeight="1">
      <c r="E862" s="512"/>
      <c r="AH862" s="204" t="str">
        <f t="shared" si="14"/>
        <v/>
      </c>
    </row>
    <row r="863" spans="5:34" ht="24" customHeight="1">
      <c r="E863" s="512"/>
      <c r="AH863" s="204" t="str">
        <f t="shared" si="14"/>
        <v/>
      </c>
    </row>
    <row r="864" spans="5:34" ht="24" customHeight="1">
      <c r="E864" s="512"/>
      <c r="AH864" s="204" t="str">
        <f t="shared" si="14"/>
        <v/>
      </c>
    </row>
    <row r="865" spans="5:34" ht="24" customHeight="1">
      <c r="E865" s="512"/>
      <c r="AH865" s="204" t="str">
        <f t="shared" si="14"/>
        <v/>
      </c>
    </row>
    <row r="866" spans="5:34" ht="24" customHeight="1">
      <c r="E866" s="512"/>
      <c r="AH866" s="204" t="str">
        <f t="shared" si="14"/>
        <v/>
      </c>
    </row>
    <row r="867" spans="5:34" ht="24" customHeight="1">
      <c r="E867" s="512"/>
      <c r="AH867" s="204" t="str">
        <f t="shared" si="14"/>
        <v/>
      </c>
    </row>
    <row r="868" spans="5:34" ht="24" customHeight="1">
      <c r="E868" s="512"/>
      <c r="AH868" s="204" t="str">
        <f t="shared" si="14"/>
        <v/>
      </c>
    </row>
    <row r="869" spans="5:34" ht="24" customHeight="1">
      <c r="E869" s="512"/>
      <c r="AH869" s="204" t="str">
        <f t="shared" si="14"/>
        <v/>
      </c>
    </row>
    <row r="870" spans="5:34" ht="24" customHeight="1">
      <c r="E870" s="512"/>
      <c r="AH870" s="204" t="str">
        <f t="shared" si="14"/>
        <v/>
      </c>
    </row>
    <row r="871" spans="5:34" ht="24" customHeight="1">
      <c r="E871" s="512"/>
      <c r="AH871" s="204" t="str">
        <f t="shared" si="14"/>
        <v/>
      </c>
    </row>
    <row r="872" spans="5:34" ht="24" customHeight="1">
      <c r="E872" s="512"/>
      <c r="AH872" s="204" t="str">
        <f t="shared" si="14"/>
        <v/>
      </c>
    </row>
    <row r="873" spans="5:34" ht="24" customHeight="1">
      <c r="E873" s="512"/>
      <c r="AH873" s="204" t="str">
        <f t="shared" si="14"/>
        <v/>
      </c>
    </row>
    <row r="874" spans="5:34" ht="24" customHeight="1">
      <c r="E874" s="512"/>
      <c r="AH874" s="204" t="str">
        <f t="shared" si="14"/>
        <v/>
      </c>
    </row>
    <row r="875" spans="5:34" ht="24" customHeight="1">
      <c r="E875" s="512"/>
      <c r="AH875" s="204" t="str">
        <f t="shared" si="14"/>
        <v/>
      </c>
    </row>
    <row r="876" spans="5:34" ht="24" customHeight="1">
      <c r="E876" s="512"/>
      <c r="AH876" s="204" t="str">
        <f t="shared" si="14"/>
        <v/>
      </c>
    </row>
    <row r="877" spans="5:34" ht="24" customHeight="1">
      <c r="E877" s="512"/>
      <c r="AH877" s="204" t="str">
        <f t="shared" si="14"/>
        <v/>
      </c>
    </row>
    <row r="878" spans="5:34" ht="24" customHeight="1">
      <c r="E878" s="512"/>
      <c r="AH878" s="204" t="str">
        <f t="shared" si="14"/>
        <v/>
      </c>
    </row>
    <row r="879" spans="5:34" ht="24" customHeight="1">
      <c r="E879" s="512"/>
      <c r="AH879" s="204" t="str">
        <f t="shared" si="14"/>
        <v/>
      </c>
    </row>
    <row r="880" spans="5:34" ht="24" customHeight="1">
      <c r="E880" s="512"/>
      <c r="AH880" s="204" t="str">
        <f t="shared" si="14"/>
        <v/>
      </c>
    </row>
    <row r="881" spans="5:34" ht="24" customHeight="1">
      <c r="E881" s="512"/>
      <c r="AH881" s="204" t="str">
        <f t="shared" si="14"/>
        <v/>
      </c>
    </row>
    <row r="882" spans="5:34" ht="24" customHeight="1">
      <c r="E882" s="512"/>
      <c r="AH882" s="204" t="str">
        <f t="shared" si="14"/>
        <v/>
      </c>
    </row>
    <row r="883" spans="5:34" ht="24" customHeight="1">
      <c r="E883" s="512"/>
      <c r="AH883" s="204" t="str">
        <f t="shared" si="14"/>
        <v/>
      </c>
    </row>
    <row r="884" spans="5:34" ht="24" customHeight="1">
      <c r="E884" s="512"/>
      <c r="AH884" s="204" t="str">
        <f t="shared" si="14"/>
        <v/>
      </c>
    </row>
    <row r="885" spans="5:34" ht="24" customHeight="1">
      <c r="E885" s="512"/>
      <c r="AH885" s="204" t="str">
        <f t="shared" si="14"/>
        <v/>
      </c>
    </row>
    <row r="886" spans="5:34" ht="24" customHeight="1">
      <c r="E886" s="512"/>
      <c r="AH886" s="204" t="str">
        <f t="shared" si="14"/>
        <v/>
      </c>
    </row>
    <row r="887" spans="5:34" ht="24" customHeight="1">
      <c r="E887" s="512"/>
      <c r="AH887" s="204" t="str">
        <f t="shared" si="14"/>
        <v/>
      </c>
    </row>
    <row r="888" spans="5:34" ht="24" customHeight="1">
      <c r="E888" s="512"/>
      <c r="AH888" s="204" t="str">
        <f t="shared" si="14"/>
        <v/>
      </c>
    </row>
    <row r="889" spans="5:34" ht="24" customHeight="1">
      <c r="E889" s="512"/>
      <c r="AH889" s="204" t="str">
        <f t="shared" si="14"/>
        <v/>
      </c>
    </row>
    <row r="890" spans="5:34" ht="24" customHeight="1">
      <c r="E890" s="512"/>
      <c r="AH890" s="204" t="str">
        <f t="shared" si="14"/>
        <v/>
      </c>
    </row>
    <row r="891" spans="5:34" ht="24" customHeight="1">
      <c r="E891" s="512"/>
      <c r="AH891" s="204" t="str">
        <f t="shared" si="14"/>
        <v/>
      </c>
    </row>
    <row r="892" spans="5:34" ht="24" customHeight="1">
      <c r="E892" s="512"/>
      <c r="AH892" s="204" t="str">
        <f t="shared" si="14"/>
        <v/>
      </c>
    </row>
    <row r="893" spans="5:34" ht="24" customHeight="1">
      <c r="AH893" s="204" t="str">
        <f t="shared" si="14"/>
        <v/>
      </c>
    </row>
    <row r="894" spans="5:34" ht="24" customHeight="1">
      <c r="AH894" s="204" t="str">
        <f t="shared" si="14"/>
        <v/>
      </c>
    </row>
    <row r="895" spans="5:34" ht="24" customHeight="1">
      <c r="AH895" s="204" t="str">
        <f t="shared" si="14"/>
        <v/>
      </c>
    </row>
    <row r="896" spans="5:34" ht="24" customHeight="1">
      <c r="AH896" s="204" t="str">
        <f t="shared" si="14"/>
        <v/>
      </c>
    </row>
    <row r="897" spans="34:34" ht="24" customHeight="1">
      <c r="AH897" s="204" t="str">
        <f t="shared" si="14"/>
        <v/>
      </c>
    </row>
    <row r="898" spans="34:34" ht="24" customHeight="1">
      <c r="AH898" s="204" t="str">
        <f t="shared" si="14"/>
        <v/>
      </c>
    </row>
    <row r="899" spans="34:34" ht="24" customHeight="1">
      <c r="AH899" s="204" t="str">
        <f t="shared" si="14"/>
        <v/>
      </c>
    </row>
    <row r="900" spans="34:34" ht="24" customHeight="1">
      <c r="AH900" s="204" t="str">
        <f t="shared" si="14"/>
        <v/>
      </c>
    </row>
    <row r="901" spans="34:34" ht="24" customHeight="1">
      <c r="AH901" s="204" t="str">
        <f t="shared" si="14"/>
        <v/>
      </c>
    </row>
    <row r="902" spans="34:34" ht="24" customHeight="1">
      <c r="AH902" s="204" t="str">
        <f t="shared" si="14"/>
        <v/>
      </c>
    </row>
    <row r="903" spans="34:34" ht="24" customHeight="1">
      <c r="AH903" s="204" t="str">
        <f t="shared" ref="AH903:AH914" si="15">IF(B903="","",B903)</f>
        <v/>
      </c>
    </row>
    <row r="904" spans="34:34" ht="24" customHeight="1">
      <c r="AH904" s="204" t="str">
        <f t="shared" si="15"/>
        <v/>
      </c>
    </row>
    <row r="905" spans="34:34" ht="24" customHeight="1">
      <c r="AH905" s="204" t="str">
        <f t="shared" si="15"/>
        <v/>
      </c>
    </row>
    <row r="906" spans="34:34" ht="24" customHeight="1">
      <c r="AH906" s="204" t="str">
        <f t="shared" si="15"/>
        <v/>
      </c>
    </row>
    <row r="907" spans="34:34" ht="24" customHeight="1">
      <c r="AH907" s="204" t="str">
        <f t="shared" si="15"/>
        <v/>
      </c>
    </row>
    <row r="908" spans="34:34" ht="24" customHeight="1">
      <c r="AH908" s="204" t="str">
        <f t="shared" si="15"/>
        <v/>
      </c>
    </row>
    <row r="909" spans="34:34" ht="24" customHeight="1">
      <c r="AH909" s="204" t="str">
        <f t="shared" si="15"/>
        <v/>
      </c>
    </row>
    <row r="910" spans="34:34" ht="24" customHeight="1">
      <c r="AH910" s="204" t="str">
        <f t="shared" si="15"/>
        <v/>
      </c>
    </row>
    <row r="911" spans="34:34" ht="24" customHeight="1">
      <c r="AH911" s="204" t="str">
        <f t="shared" si="15"/>
        <v/>
      </c>
    </row>
    <row r="912" spans="34:34" ht="24" customHeight="1">
      <c r="AH912" s="204" t="str">
        <f t="shared" si="15"/>
        <v/>
      </c>
    </row>
    <row r="913" spans="34:34" ht="24" customHeight="1">
      <c r="AH913" s="204" t="str">
        <f t="shared" si="15"/>
        <v/>
      </c>
    </row>
    <row r="914" spans="34:34" ht="24" customHeight="1">
      <c r="AH914" s="204" t="str">
        <f t="shared" si="15"/>
        <v/>
      </c>
    </row>
    <row r="915" spans="34:34" ht="24" customHeight="1">
      <c r="AH915" s="204" t="str">
        <f t="shared" ref="AH915:AH918" si="16">IF(B915="","",B915)</f>
        <v/>
      </c>
    </row>
    <row r="916" spans="34:34" ht="24" customHeight="1">
      <c r="AH916" s="204" t="str">
        <f t="shared" si="16"/>
        <v/>
      </c>
    </row>
    <row r="917" spans="34:34" ht="24" customHeight="1">
      <c r="AH917" s="204" t="str">
        <f t="shared" si="16"/>
        <v/>
      </c>
    </row>
    <row r="918" spans="34:34" ht="24" customHeight="1">
      <c r="AH918" s="204" t="str">
        <f t="shared" si="16"/>
        <v/>
      </c>
    </row>
  </sheetData>
  <mergeCells count="1">
    <mergeCell ref="AK1:AL1"/>
  </mergeCells>
  <phoneticPr fontId="37" type="noConversion"/>
  <conditionalFormatting sqref="AH3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H1" xr:uid="{58665B4C-0632-4170-865D-7EE11D05AC11}">
      <formula1>month_kh_option</formula1>
    </dataValidation>
    <dataValidation type="list" allowBlank="1" showInputMessage="1" showErrorMessage="1" sqref="AK1" xr:uid="{A9436F26-6601-4A34-B2A2-4B28370C7C29}">
      <formula1>$AK$2:$AK$3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4" orientation="landscape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6" r:id="rId4" name="Button 4">
              <controlPr defaultSize="0" print="0" autoFill="0" autoPict="0" macro="[0]!setStatusIconSaleInvoice">
                <anchor moveWithCells="1" sizeWithCells="1">
                  <from>
                    <xdr:col>33</xdr:col>
                    <xdr:colOff>95250</xdr:colOff>
                    <xdr:row>3</xdr:row>
                    <xdr:rowOff>38100</xdr:rowOff>
                  </from>
                  <to>
                    <xdr:col>34</xdr:col>
                    <xdr:colOff>371475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8" r:id="rId5" name="Button 6">
              <controlPr defaultSize="0" print="0" autoFill="0" autoPict="0" macro="[0]!goAddInvoice">
                <anchor moveWithCells="1" sizeWithCells="1">
                  <from>
                    <xdr:col>34</xdr:col>
                    <xdr:colOff>571500</xdr:colOff>
                    <xdr:row>3</xdr:row>
                    <xdr:rowOff>28575</xdr:rowOff>
                  </from>
                  <to>
                    <xdr:col>36</xdr:col>
                    <xdr:colOff>180975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80" r:id="rId6" name="Button 8">
              <controlPr defaultSize="0" print="0" autoFill="0" autoPict="0" macro="[0]!goToReceivePayment">
                <anchor moveWithCells="1" sizeWithCells="1">
                  <from>
                    <xdr:col>28</xdr:col>
                    <xdr:colOff>647700</xdr:colOff>
                    <xdr:row>1</xdr:row>
                    <xdr:rowOff>95250</xdr:rowOff>
                  </from>
                  <to>
                    <xdr:col>32</xdr:col>
                    <xdr:colOff>276225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81" r:id="rId7" name="Button 9">
              <controlPr defaultSize="0" print="0" autoFill="0" autoPict="0" macro="[0]!goToHome" altText="ទំព័រដើម">
                <anchor moveWithCells="1" sizeWithCells="1">
                  <from>
                    <xdr:col>29</xdr:col>
                    <xdr:colOff>628650</xdr:colOff>
                    <xdr:row>0</xdr:row>
                    <xdr:rowOff>152400</xdr:rowOff>
                  </from>
                  <to>
                    <xdr:col>32</xdr:col>
                    <xdr:colOff>285750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82" r:id="rId8" name="Button 10">
              <controlPr defaultSize="0" print="0" autoFill="0" autoPict="0" macro="[0]!ResetFilters">
                <anchor moveWithCells="1" sizeWithCells="1">
                  <from>
                    <xdr:col>36</xdr:col>
                    <xdr:colOff>333375</xdr:colOff>
                    <xdr:row>3</xdr:row>
                    <xdr:rowOff>38100</xdr:rowOff>
                  </from>
                  <to>
                    <xdr:col>37</xdr:col>
                    <xdr:colOff>428625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83" r:id="rId9" name="Button 11">
              <controlPr defaultSize="0" print="0" autoFill="0" autoPict="0" macro="[0]!goAddInvoice">
                <anchor moveWithCells="1" sizeWithCells="1">
                  <from>
                    <xdr:col>2</xdr:col>
                    <xdr:colOff>123825</xdr:colOff>
                    <xdr:row>0</xdr:row>
                    <xdr:rowOff>180975</xdr:rowOff>
                  </from>
                  <to>
                    <xdr:col>3</xdr:col>
                    <xdr:colOff>857250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84" r:id="rId10" name="Button 12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85725</xdr:colOff>
                    <xdr:row>1</xdr:row>
                    <xdr:rowOff>0</xdr:rowOff>
                  </from>
                  <to>
                    <xdr:col>3</xdr:col>
                    <xdr:colOff>361950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Z2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AA2:AB2</xm:sqref>
        </x14:conditionalFormatting>
        <x14:conditionalFormatting xmlns:xm="http://schemas.microsoft.com/office/excel/2006/main">
          <x14:cfRule type="iconSet" priority="14" id="{23F9B0DE-ECBB-494F-966C-409B6A76911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AB6:AB1048576</xm:sqref>
        </x14:conditionalFormatting>
        <x14:conditionalFormatting xmlns:xm="http://schemas.microsoft.com/office/excel/2006/main">
          <x14:cfRule type="iconSet" priority="15" id="{3631F129-E38B-4C9D-A950-DE0E3CD9A0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AC9:AC1048576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>
    <tabColor rgb="FF0070C0"/>
  </sheetPr>
  <dimension ref="A1:AB1176"/>
  <sheetViews>
    <sheetView showGridLines="0" zoomScale="80" zoomScaleNormal="80" workbookViewId="0">
      <pane ySplit="2" topLeftCell="A3" activePane="bottomLeft" state="frozen"/>
      <selection activeCell="E5" sqref="E5"/>
      <selection pane="bottomLeft" activeCell="H11" sqref="H11"/>
    </sheetView>
  </sheetViews>
  <sheetFormatPr defaultRowHeight="21.95" customHeight="1"/>
  <cols>
    <col min="1" max="1" width="6.5703125" style="126" customWidth="1"/>
    <col min="2" max="2" width="16" style="126" customWidth="1"/>
    <col min="3" max="3" width="21.85546875" style="126" customWidth="1"/>
    <col min="4" max="4" width="14" style="126" customWidth="1"/>
    <col min="5" max="5" width="16.7109375" style="415" customWidth="1"/>
    <col min="6" max="6" width="18.7109375" style="126" customWidth="1"/>
    <col min="7" max="7" width="21.28515625" style="249" customWidth="1"/>
    <col min="8" max="8" width="46.42578125" style="391" bestFit="1" customWidth="1"/>
    <col min="9" max="9" width="9.5703125" style="126" customWidth="1"/>
    <col min="10" max="10" width="16.7109375" style="126" customWidth="1"/>
    <col min="11" max="11" width="18.28515625" style="391" customWidth="1"/>
    <col min="12" max="12" width="14" style="126" customWidth="1"/>
    <col min="13" max="13" width="21.28515625" style="126" customWidth="1"/>
    <col min="14" max="14" width="14" style="126" customWidth="1"/>
    <col min="15" max="15" width="17" style="126" bestFit="1" customWidth="1"/>
    <col min="16" max="17" width="17.7109375" style="1094" customWidth="1"/>
    <col min="18" max="18" width="22.5703125" style="1094" customWidth="1"/>
    <col min="19" max="20" width="22.5703125" style="126" customWidth="1"/>
    <col min="21" max="21" width="9" style="126" customWidth="1"/>
    <col min="22" max="22" width="10.7109375" style="126" bestFit="1" customWidth="1"/>
    <col min="23" max="23" width="14.42578125" style="126" customWidth="1"/>
    <col min="24" max="24" width="14" style="126" customWidth="1"/>
    <col min="25" max="25" width="17.140625" style="133" customWidth="1"/>
    <col min="26" max="26" width="27.7109375" style="133" customWidth="1"/>
    <col min="27" max="27" width="14.28515625" style="133" customWidth="1"/>
    <col min="28" max="28" width="13.140625" style="133" customWidth="1"/>
    <col min="29" max="16384" width="9.140625" style="133"/>
  </cols>
  <sheetData>
    <row r="1" spans="1:28" customFormat="1" ht="29.25" customHeight="1">
      <c r="A1" s="851" t="s">
        <v>59</v>
      </c>
      <c r="B1" s="851" t="s">
        <v>319</v>
      </c>
      <c r="C1" s="851" t="s">
        <v>1955</v>
      </c>
      <c r="D1" s="851" t="s">
        <v>319</v>
      </c>
      <c r="E1" s="1393" t="s">
        <v>99</v>
      </c>
      <c r="F1" s="852" t="s">
        <v>244</v>
      </c>
      <c r="G1" s="852" t="s">
        <v>125</v>
      </c>
      <c r="H1" s="852" t="s">
        <v>126</v>
      </c>
      <c r="I1" s="852" t="s">
        <v>91</v>
      </c>
      <c r="J1" s="852" t="s">
        <v>1811</v>
      </c>
      <c r="K1" s="914" t="s">
        <v>75</v>
      </c>
      <c r="L1" s="852" t="s">
        <v>404</v>
      </c>
      <c r="M1" s="852" t="s">
        <v>1762</v>
      </c>
      <c r="N1" s="852" t="s">
        <v>1785</v>
      </c>
      <c r="O1" s="852" t="s">
        <v>1764</v>
      </c>
      <c r="P1" s="1092" t="s">
        <v>76</v>
      </c>
      <c r="Q1" s="1092" t="s">
        <v>127</v>
      </c>
      <c r="R1" s="1092" t="s">
        <v>117</v>
      </c>
      <c r="S1" s="852" t="s">
        <v>844</v>
      </c>
      <c r="T1" s="852" t="s">
        <v>841</v>
      </c>
      <c r="U1" s="852" t="s">
        <v>98</v>
      </c>
      <c r="V1" s="852" t="s">
        <v>208</v>
      </c>
      <c r="W1" s="852" t="s">
        <v>307</v>
      </c>
      <c r="X1" s="852" t="s">
        <v>264</v>
      </c>
      <c r="AA1" s="276"/>
      <c r="AB1" s="276"/>
    </row>
    <row r="2" spans="1:28" customFormat="1" ht="21">
      <c r="A2" s="1020" t="s">
        <v>328</v>
      </c>
      <c r="B2" s="1020" t="s">
        <v>406</v>
      </c>
      <c r="C2" s="1020" t="s">
        <v>1954</v>
      </c>
      <c r="D2" s="1020" t="s">
        <v>111</v>
      </c>
      <c r="E2" s="1394" t="s">
        <v>128</v>
      </c>
      <c r="F2" s="1021" t="s">
        <v>243</v>
      </c>
      <c r="G2" s="1021" t="s">
        <v>121</v>
      </c>
      <c r="H2" s="1021" t="s">
        <v>122</v>
      </c>
      <c r="I2" s="1021" t="s">
        <v>93</v>
      </c>
      <c r="J2" s="1021" t="s">
        <v>402</v>
      </c>
      <c r="K2" s="1022" t="s">
        <v>405</v>
      </c>
      <c r="L2" s="1021" t="s">
        <v>403</v>
      </c>
      <c r="M2" s="1021" t="s">
        <v>1953</v>
      </c>
      <c r="N2" s="1021" t="s">
        <v>1952</v>
      </c>
      <c r="O2" s="1021" t="s">
        <v>1787</v>
      </c>
      <c r="P2" s="1093" t="s">
        <v>94</v>
      </c>
      <c r="Q2" s="1093" t="s">
        <v>38</v>
      </c>
      <c r="R2" s="1093" t="s">
        <v>407</v>
      </c>
      <c r="S2" s="1021" t="s">
        <v>2466</v>
      </c>
      <c r="T2" s="1021" t="s">
        <v>577</v>
      </c>
      <c r="U2" s="1021" t="s">
        <v>102</v>
      </c>
      <c r="V2" s="1021" t="s">
        <v>12</v>
      </c>
      <c r="W2" s="1021" t="s">
        <v>308</v>
      </c>
      <c r="X2" s="1021" t="s">
        <v>212</v>
      </c>
    </row>
    <row r="3" spans="1:28" ht="21.95" customHeight="1">
      <c r="D3" s="204"/>
      <c r="T3" s="1445"/>
      <c r="Y3" s="421"/>
      <c r="Z3" s="456"/>
    </row>
    <row r="4" spans="1:28" ht="21.95" customHeight="1">
      <c r="D4" s="204"/>
      <c r="T4" s="1445"/>
      <c r="Y4" s="421"/>
      <c r="Z4" s="456"/>
    </row>
    <row r="5" spans="1:28" ht="21.95" customHeight="1">
      <c r="T5" s="1445"/>
      <c r="Y5" s="421"/>
      <c r="Z5" s="456"/>
    </row>
    <row r="6" spans="1:28" ht="21.95" customHeight="1">
      <c r="T6" s="1445"/>
      <c r="Y6" s="421"/>
      <c r="Z6" s="456"/>
    </row>
    <row r="7" spans="1:28" ht="21.95" customHeight="1">
      <c r="T7" s="1445"/>
      <c r="Y7" s="421"/>
      <c r="Z7" s="456"/>
    </row>
    <row r="8" spans="1:28" ht="21.95" customHeight="1">
      <c r="T8" s="1445"/>
      <c r="Y8" s="421"/>
      <c r="Z8" s="456"/>
    </row>
    <row r="9" spans="1:28" ht="21.95" customHeight="1">
      <c r="T9" s="1445"/>
      <c r="Y9" s="421"/>
      <c r="Z9" s="456"/>
    </row>
    <row r="10" spans="1:28" ht="21.95" customHeight="1">
      <c r="A10" s="456"/>
      <c r="T10" s="1445"/>
      <c r="Y10" s="421"/>
      <c r="Z10" s="456"/>
    </row>
    <row r="11" spans="1:28" ht="21.95" customHeight="1">
      <c r="A11" s="456"/>
      <c r="T11" s="1445"/>
      <c r="Z11" s="456"/>
    </row>
    <row r="12" spans="1:28" ht="21.95" customHeight="1">
      <c r="A12" s="456"/>
      <c r="T12" s="1445"/>
      <c r="Z12" s="456"/>
    </row>
    <row r="13" spans="1:28" ht="21.95" customHeight="1">
      <c r="A13" s="456"/>
      <c r="Z13" s="1196"/>
    </row>
    <row r="14" spans="1:28" ht="21.95" customHeight="1">
      <c r="A14" s="456"/>
      <c r="Z14" s="456"/>
    </row>
    <row r="15" spans="1:28" ht="21.95" customHeight="1">
      <c r="A15" s="457"/>
      <c r="Z15" s="456"/>
    </row>
    <row r="16" spans="1:28" ht="21.95" customHeight="1">
      <c r="A16" s="456"/>
      <c r="Z16" s="456"/>
    </row>
    <row r="17" spans="1:26" ht="21.95" customHeight="1">
      <c r="A17" s="456"/>
      <c r="Z17" s="456"/>
    </row>
    <row r="18" spans="1:26" ht="21.95" customHeight="1">
      <c r="A18" s="456"/>
      <c r="Z18" s="456"/>
    </row>
    <row r="19" spans="1:26" ht="21.95" customHeight="1">
      <c r="A19" s="456"/>
      <c r="Z19" s="456"/>
    </row>
    <row r="20" spans="1:26" ht="21.95" customHeight="1">
      <c r="A20" s="1196"/>
      <c r="Z20" s="456"/>
    </row>
    <row r="21" spans="1:26" ht="21.95" customHeight="1">
      <c r="A21" s="456"/>
      <c r="Z21" s="456"/>
    </row>
    <row r="22" spans="1:26" ht="21.95" customHeight="1">
      <c r="A22" s="456"/>
      <c r="Z22" s="456"/>
    </row>
    <row r="23" spans="1:26" ht="21.95" customHeight="1">
      <c r="A23" s="456"/>
      <c r="Z23" s="456"/>
    </row>
    <row r="24" spans="1:26" ht="21.95" customHeight="1">
      <c r="A24" s="456"/>
    </row>
    <row r="25" spans="1:26" ht="21.95" customHeight="1">
      <c r="A25" s="456"/>
    </row>
    <row r="26" spans="1:26" ht="21.95" customHeight="1">
      <c r="A26" s="456"/>
    </row>
    <row r="27" spans="1:26" ht="21.95" customHeight="1">
      <c r="A27" s="456"/>
    </row>
    <row r="28" spans="1:26" ht="21.95" customHeight="1">
      <c r="A28" s="456"/>
    </row>
    <row r="29" spans="1:26" ht="21.95" customHeight="1">
      <c r="A29" s="456"/>
    </row>
    <row r="30" spans="1:26" ht="21.95" customHeight="1">
      <c r="A30" s="456"/>
    </row>
    <row r="575" ht="21.75" customHeight="1"/>
    <row r="787" ht="24.75" customHeight="1"/>
    <row r="1176" ht="17.25" customHeight="1"/>
  </sheetData>
  <phoneticPr fontId="3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51" r:id="rId4" name="Button 3">
              <controlPr defaultSize="0" print="0" autoFill="0" autoPict="0" macro="[0]!goAddInvoice">
                <anchor moveWithCells="1" sizeWithCells="1">
                  <from>
                    <xdr:col>25</xdr:col>
                    <xdr:colOff>1495425</xdr:colOff>
                    <xdr:row>0</xdr:row>
                    <xdr:rowOff>104775</xdr:rowOff>
                  </from>
                  <to>
                    <xdr:col>27</xdr:col>
                    <xdr:colOff>295275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5" name="Button 4">
              <controlPr defaultSize="0" print="0" autoFill="0" autoPict="0" macro="[0]!goToHome" altText="ទំព័រដើម">
                <anchor moveWithCells="1" sizeWithCells="1">
                  <from>
                    <xdr:col>24</xdr:col>
                    <xdr:colOff>152400</xdr:colOff>
                    <xdr:row>0</xdr:row>
                    <xdr:rowOff>85725</xdr:rowOff>
                  </from>
                  <to>
                    <xdr:col>25</xdr:col>
                    <xdr:colOff>104775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>
    <tabColor rgb="FF0070C0"/>
  </sheetPr>
  <dimension ref="C1:S7"/>
  <sheetViews>
    <sheetView showGridLines="0" topLeftCell="A3" zoomScale="90" zoomScaleNormal="90" workbookViewId="0">
      <pane ySplit="5" topLeftCell="A8" activePane="bottomLeft" state="frozen"/>
      <selection pane="bottomLeft" activeCell="L25" sqref="L25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249" customWidth="1"/>
    <col min="5" max="5" width="31.140625" style="416" customWidth="1"/>
    <col min="6" max="6" width="26.28515625" style="302" customWidth="1"/>
    <col min="7" max="7" width="22.28515625" style="302" customWidth="1"/>
    <col min="8" max="8" width="19" style="391" customWidth="1"/>
    <col min="9" max="9" width="18" style="1386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customWidth="1"/>
    <col min="16" max="16" width="19.5703125" style="126" customWidth="1"/>
    <col min="17" max="17" width="16.28515625" style="126" customWidth="1"/>
    <col min="18" max="18" width="13.7109375" style="126" customWidth="1"/>
    <col min="19" max="19" width="12.5703125" style="126" customWidth="1"/>
    <col min="20" max="16384" width="12.5703125" style="126"/>
  </cols>
  <sheetData>
    <row r="1" spans="3:19" s="13" customFormat="1" ht="23.25" hidden="1">
      <c r="C1" s="126"/>
      <c r="D1" s="212"/>
      <c r="E1" s="416"/>
      <c r="F1" s="302"/>
      <c r="G1" s="302"/>
      <c r="H1" s="391"/>
      <c r="I1" s="1386"/>
    </row>
    <row r="2" spans="3:19" s="13" customFormat="1" ht="23.25" hidden="1">
      <c r="C2" s="126"/>
      <c r="D2" s="212"/>
      <c r="E2" s="416"/>
      <c r="F2" s="302"/>
      <c r="G2" s="302"/>
      <c r="H2" s="391"/>
      <c r="I2" s="1386"/>
    </row>
    <row r="3" spans="3:19" s="13" customFormat="1" ht="23.25">
      <c r="C3" s="126"/>
      <c r="D3" s="212"/>
      <c r="E3" s="416"/>
      <c r="F3" s="302"/>
      <c r="G3" s="302"/>
      <c r="H3" s="391"/>
      <c r="I3" s="1386"/>
    </row>
    <row r="4" spans="3:19" s="13" customFormat="1" ht="32.25" customHeight="1">
      <c r="C4" s="126"/>
      <c r="D4" s="212"/>
      <c r="E4" s="424"/>
      <c r="F4" s="1002"/>
      <c r="G4" s="1002"/>
      <c r="H4" s="1001"/>
      <c r="I4" s="1387"/>
    </row>
    <row r="5" spans="3:19" s="13" customFormat="1" ht="8.25" customHeight="1">
      <c r="C5" s="126"/>
      <c r="D5" s="212"/>
      <c r="E5" s="416"/>
      <c r="F5" s="302"/>
      <c r="G5" s="302"/>
      <c r="H5" s="391"/>
      <c r="I5" s="1386"/>
    </row>
    <row r="6" spans="3:19" s="13" customFormat="1" ht="25.5">
      <c r="C6" s="304" t="s">
        <v>354</v>
      </c>
      <c r="D6" s="305" t="s">
        <v>843</v>
      </c>
      <c r="E6" s="305" t="s">
        <v>74</v>
      </c>
      <c r="F6" s="304" t="s">
        <v>2014</v>
      </c>
      <c r="G6" s="304" t="s">
        <v>372</v>
      </c>
      <c r="H6" s="304" t="s">
        <v>844</v>
      </c>
      <c r="I6" s="413" t="s">
        <v>841</v>
      </c>
      <c r="J6" s="304" t="s">
        <v>355</v>
      </c>
      <c r="K6" s="304" t="s">
        <v>356</v>
      </c>
      <c r="L6" s="304" t="s">
        <v>306</v>
      </c>
      <c r="M6" s="304" t="s">
        <v>357</v>
      </c>
      <c r="N6" s="304" t="s">
        <v>358</v>
      </c>
      <c r="O6" s="304" t="s">
        <v>359</v>
      </c>
      <c r="P6" s="304" t="s">
        <v>360</v>
      </c>
      <c r="Q6" s="304" t="s">
        <v>361</v>
      </c>
      <c r="R6" s="304" t="s">
        <v>362</v>
      </c>
      <c r="S6" s="304" t="s">
        <v>363</v>
      </c>
    </row>
    <row r="7" spans="3:19" ht="20.25" customHeight="1">
      <c r="C7" s="296" t="s">
        <v>343</v>
      </c>
      <c r="D7" s="418" t="s">
        <v>837</v>
      </c>
      <c r="E7" s="418" t="s">
        <v>92</v>
      </c>
      <c r="F7" s="296" t="s">
        <v>2015</v>
      </c>
      <c r="G7" s="296" t="s">
        <v>344</v>
      </c>
      <c r="H7" s="296" t="s">
        <v>840</v>
      </c>
      <c r="I7" s="423" t="s">
        <v>577</v>
      </c>
      <c r="J7" s="296" t="s">
        <v>345</v>
      </c>
      <c r="K7" s="296" t="s">
        <v>346</v>
      </c>
      <c r="L7" s="296" t="s">
        <v>353</v>
      </c>
      <c r="M7" s="296" t="s">
        <v>347</v>
      </c>
      <c r="N7" s="296" t="s">
        <v>348</v>
      </c>
      <c r="O7" s="296" t="s">
        <v>349</v>
      </c>
      <c r="P7" s="296" t="s">
        <v>350</v>
      </c>
      <c r="Q7" s="296" t="s">
        <v>351</v>
      </c>
      <c r="R7" s="296" t="s">
        <v>352</v>
      </c>
      <c r="S7" s="296" t="s">
        <v>364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81666" r:id="rId4" name="Button 2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190500</xdr:rowOff>
                  </from>
                  <to>
                    <xdr:col>3</xdr:col>
                    <xdr:colOff>38100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1668" r:id="rId5" name="Button 4">
              <controlPr defaultSize="0" print="0" autoFill="0" autoPict="0" macro="[0]!goAddInvoice">
                <anchor moveWithCells="1" sizeWithCells="1">
                  <from>
                    <xdr:col>3</xdr:col>
                    <xdr:colOff>123825</xdr:colOff>
                    <xdr:row>2</xdr:row>
                    <xdr:rowOff>200025</xdr:rowOff>
                  </from>
                  <to>
                    <xdr:col>4</xdr:col>
                    <xdr:colOff>200025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>
    <tabColor rgb="FF0070C0"/>
  </sheetPr>
  <dimension ref="C1:W379"/>
  <sheetViews>
    <sheetView showGridLines="0" zoomScale="90" zoomScaleNormal="90" workbookViewId="0">
      <pane ySplit="7" topLeftCell="A8" activePane="bottomLeft" state="frozen"/>
      <selection pane="bottomLeft" activeCell="I18" sqref="I18"/>
    </sheetView>
  </sheetViews>
  <sheetFormatPr defaultColWidth="12.5703125" defaultRowHeight="23.1" customHeight="1"/>
  <cols>
    <col min="1" max="1" width="2.5703125" style="133" customWidth="1"/>
    <col min="2" max="2" width="3.7109375" style="133" customWidth="1"/>
    <col min="3" max="3" width="14.28515625" style="126" customWidth="1"/>
    <col min="4" max="4" width="23.42578125" style="249" customWidth="1"/>
    <col min="5" max="5" width="36.140625" style="391" customWidth="1"/>
    <col min="6" max="6" width="18.7109375" style="135" customWidth="1"/>
    <col min="7" max="7" width="19.42578125" style="135" customWidth="1"/>
    <col min="8" max="8" width="19.140625" style="412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customWidth="1"/>
    <col min="14" max="14" width="19.5703125" style="126" customWidth="1"/>
    <col min="15" max="15" width="16.28515625" style="126" customWidth="1"/>
    <col min="16" max="16" width="13.7109375" style="126" customWidth="1"/>
    <col min="17" max="17" width="12.5703125" style="126" customWidth="1"/>
    <col min="18" max="18" width="27.7109375" style="475" customWidth="1"/>
    <col min="19" max="16384" width="12.5703125" style="133"/>
  </cols>
  <sheetData>
    <row r="1" spans="3:23" customFormat="1" ht="23.25" hidden="1">
      <c r="C1" s="13"/>
      <c r="D1" s="212"/>
      <c r="E1" s="127"/>
      <c r="F1" s="135"/>
      <c r="G1" s="135"/>
      <c r="H1" s="412"/>
      <c r="I1" s="13"/>
      <c r="J1" s="13"/>
      <c r="K1" s="13"/>
      <c r="L1" s="13"/>
      <c r="M1" s="13"/>
      <c r="N1" s="13"/>
      <c r="O1" s="13"/>
      <c r="P1" s="13"/>
      <c r="Q1" s="13"/>
      <c r="R1" s="139"/>
    </row>
    <row r="2" spans="3:23" customFormat="1" ht="23.25" hidden="1">
      <c r="C2" s="13"/>
      <c r="D2" s="212"/>
      <c r="E2" s="127"/>
      <c r="F2" s="135"/>
      <c r="G2" s="135"/>
      <c r="H2" s="412"/>
      <c r="I2" s="13"/>
      <c r="J2" s="13"/>
      <c r="K2" s="13"/>
      <c r="L2" s="13"/>
      <c r="M2" s="13"/>
      <c r="N2" s="13"/>
      <c r="O2" s="13"/>
      <c r="P2" s="13"/>
      <c r="Q2" s="13"/>
      <c r="R2" s="139"/>
    </row>
    <row r="3" spans="3:23" customFormat="1" ht="23.25">
      <c r="C3" s="13"/>
      <c r="D3" s="249"/>
      <c r="E3" s="127"/>
      <c r="F3" s="135"/>
      <c r="G3" s="135"/>
      <c r="H3" s="412"/>
      <c r="I3" s="13"/>
      <c r="J3" s="13"/>
      <c r="K3" s="13"/>
      <c r="L3" s="13"/>
      <c r="M3" s="13"/>
      <c r="N3" s="13"/>
      <c r="O3" s="13"/>
      <c r="P3" s="13"/>
      <c r="Q3" s="13"/>
      <c r="R3" s="139"/>
    </row>
    <row r="4" spans="3:23" customFormat="1" ht="32.25" customHeight="1">
      <c r="C4" s="13"/>
      <c r="D4" s="212"/>
      <c r="E4" s="127"/>
      <c r="F4" s="135"/>
      <c r="G4" s="135"/>
      <c r="H4" s="412"/>
      <c r="I4" s="13"/>
      <c r="J4" s="13"/>
      <c r="K4" s="13"/>
      <c r="L4" s="13">
        <f>I9-J9</f>
        <v>0</v>
      </c>
      <c r="M4" s="13"/>
      <c r="N4" s="13"/>
      <c r="O4" s="13"/>
      <c r="P4" s="13"/>
      <c r="Q4" s="13"/>
      <c r="R4" s="139"/>
      <c r="T4" s="282" t="s">
        <v>426</v>
      </c>
      <c r="U4" s="282" t="s">
        <v>1873</v>
      </c>
      <c r="V4" s="329" t="s">
        <v>81</v>
      </c>
      <c r="W4" s="285" t="s">
        <v>1875</v>
      </c>
    </row>
    <row r="5" spans="3:23" customFormat="1" ht="8.25" customHeight="1">
      <c r="C5" s="13"/>
      <c r="D5" s="212"/>
      <c r="E5" s="127"/>
      <c r="F5" s="135"/>
      <c r="G5" s="135"/>
      <c r="H5" s="412"/>
      <c r="I5" s="13"/>
      <c r="J5" s="13"/>
      <c r="K5" s="13"/>
      <c r="L5" s="13"/>
      <c r="M5" s="13"/>
      <c r="N5" s="13"/>
      <c r="O5" s="13"/>
      <c r="P5" s="13"/>
      <c r="Q5" s="13"/>
      <c r="R5" s="139"/>
    </row>
    <row r="6" spans="3:23" customFormat="1" ht="25.5">
      <c r="C6" s="304" t="s">
        <v>354</v>
      </c>
      <c r="D6" s="305" t="s">
        <v>843</v>
      </c>
      <c r="E6" s="304" t="s">
        <v>74</v>
      </c>
      <c r="F6" s="304" t="s">
        <v>991</v>
      </c>
      <c r="G6" s="304" t="s">
        <v>2033</v>
      </c>
      <c r="H6" s="304" t="s">
        <v>99</v>
      </c>
      <c r="I6" s="304" t="s">
        <v>305</v>
      </c>
      <c r="J6" s="304" t="s">
        <v>306</v>
      </c>
      <c r="K6" s="304" t="s">
        <v>357</v>
      </c>
      <c r="L6" s="304" t="s">
        <v>358</v>
      </c>
      <c r="M6" s="304" t="s">
        <v>359</v>
      </c>
      <c r="N6" s="304" t="s">
        <v>360</v>
      </c>
      <c r="O6" s="304" t="s">
        <v>361</v>
      </c>
      <c r="P6" s="304" t="s">
        <v>362</v>
      </c>
      <c r="Q6" s="304" t="s">
        <v>363</v>
      </c>
      <c r="R6" s="139"/>
      <c r="V6" s="276">
        <v>45292</v>
      </c>
      <c r="W6" s="276">
        <v>45716</v>
      </c>
    </row>
    <row r="7" spans="3:23" s="126" customFormat="1" ht="20.25" customHeight="1">
      <c r="C7" s="296" t="s">
        <v>343</v>
      </c>
      <c r="D7" s="418" t="s">
        <v>837</v>
      </c>
      <c r="E7" s="296" t="s">
        <v>92</v>
      </c>
      <c r="F7" s="296" t="s">
        <v>2013</v>
      </c>
      <c r="G7" s="296" t="s">
        <v>344</v>
      </c>
      <c r="H7" s="296" t="s">
        <v>96</v>
      </c>
      <c r="I7" s="296" t="s">
        <v>346</v>
      </c>
      <c r="J7" s="296" t="s">
        <v>353</v>
      </c>
      <c r="K7" s="296" t="s">
        <v>347</v>
      </c>
      <c r="L7" s="296" t="s">
        <v>348</v>
      </c>
      <c r="M7" s="296" t="s">
        <v>349</v>
      </c>
      <c r="N7" s="296" t="s">
        <v>350</v>
      </c>
      <c r="O7" s="296" t="s">
        <v>351</v>
      </c>
      <c r="P7" s="296" t="s">
        <v>352</v>
      </c>
      <c r="Q7" s="296" t="s">
        <v>364</v>
      </c>
      <c r="R7" s="128"/>
    </row>
    <row r="8" spans="3:23" ht="23.1" customHeight="1">
      <c r="R8" s="128"/>
      <c r="S8" s="126"/>
      <c r="T8" s="126"/>
    </row>
    <row r="9" spans="3:23" ht="23.1" customHeight="1">
      <c r="R9" s="128"/>
      <c r="S9" s="126"/>
      <c r="T9" s="126"/>
    </row>
    <row r="10" spans="3:23" ht="23.1" customHeight="1">
      <c r="R10" s="128"/>
      <c r="S10" s="126"/>
      <c r="T10" s="126"/>
    </row>
    <row r="11" spans="3:23" ht="23.1" customHeight="1">
      <c r="R11" s="128"/>
      <c r="S11" s="126"/>
      <c r="T11" s="126"/>
    </row>
    <row r="12" spans="3:23" ht="23.1" customHeight="1">
      <c r="R12" s="128"/>
      <c r="S12" s="126"/>
      <c r="T12" s="126"/>
    </row>
    <row r="13" spans="3:23" ht="23.1" customHeight="1">
      <c r="R13" s="128"/>
      <c r="S13" s="126"/>
      <c r="T13" s="126"/>
    </row>
    <row r="14" spans="3:23" ht="23.1" customHeight="1">
      <c r="R14" s="128"/>
      <c r="S14" s="126"/>
      <c r="T14" s="126"/>
    </row>
    <row r="15" spans="3:23" ht="23.1" customHeight="1">
      <c r="R15" s="128"/>
      <c r="S15" s="126"/>
      <c r="T15" s="126"/>
    </row>
    <row r="17" spans="18:18" ht="23.1" customHeight="1">
      <c r="R17" s="476"/>
    </row>
    <row r="18" spans="18:18" ht="23.1" customHeight="1">
      <c r="R18" s="476"/>
    </row>
    <row r="19" spans="18:18" ht="23.1" customHeight="1">
      <c r="R19" s="476"/>
    </row>
    <row r="20" spans="18:18" ht="23.1" customHeight="1">
      <c r="R20" s="476"/>
    </row>
    <row r="21" spans="18:18" ht="23.1" customHeight="1">
      <c r="R21" s="476"/>
    </row>
    <row r="23" spans="18:18" ht="23.1" customHeight="1">
      <c r="R23" s="476"/>
    </row>
    <row r="24" spans="18:18" ht="23.1" customHeight="1">
      <c r="R24" s="476"/>
    </row>
    <row r="26" spans="18:18" ht="23.1" customHeight="1">
      <c r="R26" s="476"/>
    </row>
    <row r="347" spans="18:18" ht="23.1" customHeight="1">
      <c r="R347" s="126"/>
    </row>
    <row r="349" spans="18:18" ht="23.1" customHeight="1">
      <c r="R349" s="126"/>
    </row>
    <row r="350" spans="18:18" ht="23.1" customHeight="1">
      <c r="R350" s="126"/>
    </row>
    <row r="352" spans="18:18" ht="23.1" customHeight="1">
      <c r="R352" s="126"/>
    </row>
    <row r="354" spans="18:18" ht="23.1" customHeight="1">
      <c r="R354" s="126"/>
    </row>
    <row r="357" spans="18:18" ht="23.1" customHeight="1">
      <c r="R357" s="126"/>
    </row>
    <row r="360" spans="18:18" ht="23.1" customHeight="1">
      <c r="R360" s="126"/>
    </row>
    <row r="361" spans="18:18" ht="23.1" customHeight="1">
      <c r="R361" s="126"/>
    </row>
    <row r="363" spans="18:18" ht="23.1" customHeight="1">
      <c r="R363" s="126"/>
    </row>
    <row r="365" spans="18:18" ht="23.1" customHeight="1">
      <c r="R365" s="126"/>
    </row>
    <row r="368" spans="18:18" ht="23.1" customHeight="1">
      <c r="R368" s="126"/>
    </row>
    <row r="370" spans="18:18" ht="23.1" customHeight="1">
      <c r="R370" s="126"/>
    </row>
    <row r="372" spans="18:18" ht="23.1" customHeight="1">
      <c r="R372" s="126"/>
    </row>
    <row r="373" spans="18:18" ht="23.1" customHeight="1">
      <c r="R373" s="126"/>
    </row>
    <row r="375" spans="18:18" ht="23.1" customHeight="1">
      <c r="R375" s="126"/>
    </row>
    <row r="376" spans="18:18" ht="23.1" customHeight="1">
      <c r="R376" s="126"/>
    </row>
    <row r="379" spans="18:18" ht="23.1" customHeight="1">
      <c r="R379" s="1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82689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133350</xdr:rowOff>
                  </from>
                  <to>
                    <xdr:col>3</xdr:col>
                    <xdr:colOff>219075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692" r:id="rId5" name="Button 4">
              <controlPr defaultSize="0" print="0" autoFill="0" autoPict="0" macro="[0]!goToAddStockForm">
                <anchor moveWithCells="1" sizeWithCells="1">
                  <from>
                    <xdr:col>4</xdr:col>
                    <xdr:colOff>333375</xdr:colOff>
                    <xdr:row>2</xdr:row>
                    <xdr:rowOff>133350</xdr:rowOff>
                  </from>
                  <to>
                    <xdr:col>4</xdr:col>
                    <xdr:colOff>2200275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693" r:id="rId6" name="Button 5">
              <controlPr defaultSize="0" print="0" autoFill="0" autoPict="0" macro="[0]!goAddInvoice">
                <anchor moveWithCells="1" sizeWithCells="1">
                  <from>
                    <xdr:col>3</xdr:col>
                    <xdr:colOff>409575</xdr:colOff>
                    <xdr:row>2</xdr:row>
                    <xdr:rowOff>133350</xdr:rowOff>
                  </from>
                  <to>
                    <xdr:col>4</xdr:col>
                    <xdr:colOff>238125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>
    <tabColor rgb="FF0070C0"/>
  </sheetPr>
  <dimension ref="B1:AF1800"/>
  <sheetViews>
    <sheetView showGridLines="0" zoomScale="80" zoomScaleNormal="80" workbookViewId="0">
      <pane ySplit="7" topLeftCell="A8" activePane="bottomLeft" state="frozen"/>
      <selection pane="bottomLeft" activeCell="F17" sqref="F17"/>
    </sheetView>
  </sheetViews>
  <sheetFormatPr defaultColWidth="15.42578125" defaultRowHeight="23.1" customHeight="1"/>
  <cols>
    <col min="1" max="1" width="1.42578125" style="133" customWidth="1"/>
    <col min="2" max="2" width="2.42578125" style="201" customWidth="1"/>
    <col min="3" max="3" width="9.42578125" style="126" customWidth="1"/>
    <col min="4" max="4" width="22.85546875" style="126" customWidth="1"/>
    <col min="5" max="5" width="24" style="249" customWidth="1"/>
    <col min="6" max="6" width="29.42578125" style="416" bestFit="1" customWidth="1"/>
    <col min="7" max="7" width="15.42578125" style="415" customWidth="1"/>
    <col min="8" max="8" width="12" style="135" customWidth="1"/>
    <col min="9" max="9" width="18.7109375" style="135" customWidth="1"/>
    <col min="10" max="10" width="14.28515625" style="249" customWidth="1"/>
    <col min="11" max="11" width="24.42578125" style="249" customWidth="1"/>
    <col min="12" max="12" width="10.85546875" style="249" customWidth="1"/>
    <col min="13" max="13" width="19.42578125" style="249" customWidth="1"/>
    <col min="14" max="14" width="16.5703125" style="249" customWidth="1"/>
    <col min="15" max="15" width="16.140625" style="249" hidden="1" customWidth="1"/>
    <col min="16" max="16" width="16" style="249" hidden="1" customWidth="1"/>
    <col min="17" max="17" width="16.85546875" style="249" customWidth="1"/>
    <col min="18" max="18" width="24.42578125" style="249" hidden="1" customWidth="1"/>
    <col min="19" max="19" width="39.85546875" style="249" hidden="1" customWidth="1"/>
    <col min="20" max="20" width="22" style="249" hidden="1" customWidth="1"/>
    <col min="21" max="21" width="15.42578125" style="126" customWidth="1"/>
    <col min="22" max="22" width="18" style="1318" customWidth="1"/>
    <col min="23" max="23" width="19.5703125" style="1318" customWidth="1"/>
    <col min="24" max="25" width="18.85546875" style="126" customWidth="1"/>
    <col min="26" max="26" width="18.85546875" style="415" customWidth="1"/>
    <col min="27" max="27" width="24.140625" style="888" customWidth="1"/>
    <col min="28" max="28" width="8.28515625" style="135" customWidth="1"/>
    <col min="29" max="29" width="8.7109375" style="126" customWidth="1"/>
    <col min="30" max="30" width="10.7109375" style="126" customWidth="1"/>
    <col min="31" max="16384" width="15.42578125" style="133"/>
  </cols>
  <sheetData>
    <row r="1" spans="2:32" customFormat="1" ht="23.25">
      <c r="B1" s="150"/>
      <c r="C1" s="13"/>
      <c r="D1" s="13"/>
      <c r="E1" s="212"/>
      <c r="F1" s="416"/>
      <c r="G1" s="412"/>
      <c r="H1" s="135"/>
      <c r="I1" s="135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13"/>
      <c r="V1" s="1287"/>
      <c r="W1" s="1287"/>
      <c r="X1" s="13"/>
      <c r="Y1" s="13"/>
      <c r="Z1" s="412"/>
      <c r="AA1" s="888"/>
      <c r="AB1" s="135"/>
      <c r="AC1" s="13"/>
      <c r="AD1" s="13"/>
    </row>
    <row r="2" spans="2:32" customFormat="1" ht="23.25">
      <c r="B2" s="150"/>
      <c r="C2" s="13"/>
      <c r="D2" s="13"/>
      <c r="E2" s="212"/>
      <c r="F2" s="416"/>
      <c r="G2" s="412"/>
      <c r="H2" s="135"/>
      <c r="I2" s="135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13"/>
      <c r="V2" s="1287"/>
      <c r="W2" s="1287"/>
      <c r="X2" s="13"/>
      <c r="Y2" s="13"/>
      <c r="Z2" s="412"/>
      <c r="AA2" s="888"/>
      <c r="AB2" s="135"/>
      <c r="AC2" s="13"/>
      <c r="AD2" s="13"/>
    </row>
    <row r="3" spans="2:32" customFormat="1" ht="23.25">
      <c r="B3" s="150"/>
      <c r="C3" s="13"/>
      <c r="D3" s="13"/>
      <c r="E3" s="212"/>
      <c r="F3" s="416"/>
      <c r="G3" s="412"/>
      <c r="H3" s="135"/>
      <c r="I3" s="135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13"/>
      <c r="V3" s="1287"/>
      <c r="W3" s="1287"/>
      <c r="X3" s="13"/>
      <c r="Y3" s="13"/>
      <c r="Z3" s="412"/>
      <c r="AA3" s="888"/>
      <c r="AB3" s="135"/>
      <c r="AC3" s="13"/>
      <c r="AD3" s="13"/>
    </row>
    <row r="4" spans="2:32" customFormat="1" ht="23.25">
      <c r="B4" s="150"/>
      <c r="C4" s="13"/>
      <c r="D4" s="13"/>
      <c r="E4" s="212"/>
      <c r="F4" s="416"/>
      <c r="G4" s="412"/>
      <c r="H4" s="135"/>
      <c r="I4" s="135"/>
      <c r="J4" s="212"/>
      <c r="K4" s="212"/>
      <c r="L4" s="212"/>
      <c r="M4" s="212"/>
      <c r="N4" s="212"/>
      <c r="O4" s="212"/>
      <c r="P4" s="212"/>
      <c r="Q4" s="212"/>
      <c r="R4" s="249"/>
      <c r="S4" s="249"/>
      <c r="T4" s="212"/>
      <c r="U4" s="13"/>
      <c r="V4" s="1287"/>
      <c r="W4" s="1287"/>
      <c r="X4" s="13"/>
      <c r="Y4" s="13"/>
      <c r="Z4" s="412"/>
      <c r="AA4" s="888"/>
      <c r="AB4" s="135"/>
      <c r="AC4" s="13"/>
      <c r="AD4" s="13"/>
    </row>
    <row r="5" spans="2:32" customFormat="1" ht="23.25">
      <c r="B5" s="150"/>
      <c r="C5" s="13"/>
      <c r="D5" s="13"/>
      <c r="E5" s="212"/>
      <c r="F5" s="416"/>
      <c r="G5" s="412"/>
      <c r="H5" s="135"/>
      <c r="I5" s="135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13"/>
      <c r="V5" s="1287"/>
      <c r="W5" s="1287"/>
      <c r="X5" s="13"/>
      <c r="Y5" s="13"/>
      <c r="Z5" s="412"/>
      <c r="AA5" s="888"/>
      <c r="AB5" s="135"/>
      <c r="AC5" s="13"/>
      <c r="AD5" s="13"/>
    </row>
    <row r="6" spans="2:32" customFormat="1" ht="27.75" customHeight="1">
      <c r="B6" s="150"/>
      <c r="C6" s="304" t="s">
        <v>365</v>
      </c>
      <c r="D6" s="304" t="s">
        <v>838</v>
      </c>
      <c r="E6" s="305" t="s">
        <v>385</v>
      </c>
      <c r="F6" s="305" t="s">
        <v>74</v>
      </c>
      <c r="G6" s="413" t="s">
        <v>99</v>
      </c>
      <c r="H6" s="304" t="s">
        <v>372</v>
      </c>
      <c r="I6" s="304" t="s">
        <v>330</v>
      </c>
      <c r="J6" s="413" t="s">
        <v>369</v>
      </c>
      <c r="K6" s="305" t="s">
        <v>370</v>
      </c>
      <c r="L6" s="305" t="s">
        <v>371</v>
      </c>
      <c r="M6" s="305" t="s">
        <v>376</v>
      </c>
      <c r="N6" s="305" t="s">
        <v>123</v>
      </c>
      <c r="O6" s="305" t="s">
        <v>366</v>
      </c>
      <c r="P6" s="305" t="s">
        <v>377</v>
      </c>
      <c r="Q6" s="305" t="s">
        <v>367</v>
      </c>
      <c r="R6" s="305" t="s">
        <v>378</v>
      </c>
      <c r="S6" s="305" t="s">
        <v>2621</v>
      </c>
      <c r="T6" s="305" t="s">
        <v>368</v>
      </c>
      <c r="U6" s="304" t="s">
        <v>374</v>
      </c>
      <c r="V6" s="1317" t="s">
        <v>375</v>
      </c>
      <c r="W6" s="1317" t="s">
        <v>373</v>
      </c>
      <c r="X6" s="304" t="s">
        <v>264</v>
      </c>
      <c r="Y6" s="304" t="s">
        <v>2620</v>
      </c>
      <c r="Z6" s="413" t="s">
        <v>841</v>
      </c>
      <c r="AA6" s="304" t="s">
        <v>839</v>
      </c>
      <c r="AB6" s="304" t="s">
        <v>98</v>
      </c>
      <c r="AC6" s="304" t="s">
        <v>208</v>
      </c>
      <c r="AD6" s="304" t="s">
        <v>307</v>
      </c>
    </row>
    <row r="7" spans="2:32" s="13" customFormat="1" ht="21.75" customHeight="1">
      <c r="B7" s="150"/>
      <c r="C7" s="410" t="s">
        <v>328</v>
      </c>
      <c r="D7" s="410" t="s">
        <v>343</v>
      </c>
      <c r="E7" s="411" t="s">
        <v>837</v>
      </c>
      <c r="F7" s="411" t="s">
        <v>92</v>
      </c>
      <c r="G7" s="414" t="s">
        <v>96</v>
      </c>
      <c r="H7" s="410" t="s">
        <v>344</v>
      </c>
      <c r="I7" s="410" t="s">
        <v>329</v>
      </c>
      <c r="J7" s="414" t="s">
        <v>340</v>
      </c>
      <c r="K7" s="411" t="s">
        <v>341</v>
      </c>
      <c r="L7" s="411" t="s">
        <v>342</v>
      </c>
      <c r="M7" s="411" t="s">
        <v>333</v>
      </c>
      <c r="N7" s="411" t="s">
        <v>334</v>
      </c>
      <c r="O7" s="411" t="s">
        <v>335</v>
      </c>
      <c r="P7" s="411" t="s">
        <v>336</v>
      </c>
      <c r="Q7" s="411" t="s">
        <v>337</v>
      </c>
      <c r="R7" s="411" t="s">
        <v>338</v>
      </c>
      <c r="S7" s="411" t="s">
        <v>2467</v>
      </c>
      <c r="T7" s="411" t="s">
        <v>339</v>
      </c>
      <c r="U7" s="410" t="s">
        <v>93</v>
      </c>
      <c r="V7" s="1288" t="s">
        <v>94</v>
      </c>
      <c r="W7" s="1288" t="s">
        <v>38</v>
      </c>
      <c r="X7" s="410" t="s">
        <v>212</v>
      </c>
      <c r="Y7" s="410" t="s">
        <v>840</v>
      </c>
      <c r="Z7" s="414" t="s">
        <v>577</v>
      </c>
      <c r="AA7" s="410" t="s">
        <v>824</v>
      </c>
      <c r="AB7" s="410" t="s">
        <v>102</v>
      </c>
      <c r="AC7" s="410" t="s">
        <v>12</v>
      </c>
      <c r="AD7" s="410" t="s">
        <v>308</v>
      </c>
    </row>
    <row r="8" spans="2:32" ht="23.1" customHeight="1">
      <c r="AF8" s="1076"/>
    </row>
    <row r="9" spans="2:32" ht="23.1" customHeight="1">
      <c r="AF9" s="1076"/>
    </row>
    <row r="10" spans="2:32" ht="23.25" customHeight="1"/>
    <row r="24" spans="26:26" ht="23.1" customHeight="1">
      <c r="Z24" s="1445"/>
    </row>
    <row r="340" spans="11:11" ht="23.1" customHeight="1">
      <c r="K340" s="133"/>
    </row>
    <row r="341" spans="11:11" ht="23.1" customHeight="1">
      <c r="K341" s="133"/>
    </row>
    <row r="342" spans="11:11" ht="23.1" customHeight="1">
      <c r="K342" s="133"/>
    </row>
    <row r="343" spans="11:11" ht="23.1" customHeight="1">
      <c r="K343" s="133"/>
    </row>
    <row r="344" spans="11:11" ht="23.1" customHeight="1">
      <c r="K344" s="133"/>
    </row>
    <row r="1122" spans="21:26" ht="23.1" customHeight="1">
      <c r="U1122" s="170"/>
      <c r="X1122" s="170"/>
      <c r="Y1122" s="170"/>
      <c r="Z1122" s="1475"/>
    </row>
    <row r="1186" spans="6:6" ht="23.1" customHeight="1">
      <c r="F1186" s="127"/>
    </row>
    <row r="1746" spans="11:21" ht="23.1" customHeight="1">
      <c r="K1746" s="515"/>
      <c r="U1746" s="249"/>
    </row>
    <row r="1747" spans="11:21" ht="23.1" customHeight="1">
      <c r="K1747" s="515"/>
      <c r="U1747" s="249"/>
    </row>
    <row r="1748" spans="11:21" ht="23.1" customHeight="1">
      <c r="U1748" s="249"/>
    </row>
    <row r="1749" spans="11:21" ht="23.1" customHeight="1">
      <c r="U1749" s="249"/>
    </row>
    <row r="1750" spans="11:21" ht="23.1" customHeight="1">
      <c r="U1750" s="249"/>
    </row>
    <row r="1751" spans="11:21" ht="23.1" customHeight="1">
      <c r="U1751" s="249"/>
    </row>
    <row r="1800" spans="21:21" ht="23.1" customHeight="1">
      <c r="U1800" s="170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2739" r:id="rId4" name="Button 3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438150</xdr:colOff>
                    <xdr:row>2</xdr:row>
                    <xdr:rowOff>161925</xdr:rowOff>
                  </from>
                  <to>
                    <xdr:col>3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740" r:id="rId5" name="Button 4">
              <controlPr defaultSize="0" print="0" autoFill="0" autoPict="0" macro="[0]!goAddInvoice">
                <anchor moveWithCells="1" sizeWithCells="1">
                  <from>
                    <xdr:col>5</xdr:col>
                    <xdr:colOff>19050</xdr:colOff>
                    <xdr:row>2</xdr:row>
                    <xdr:rowOff>133350</xdr:rowOff>
                  </from>
                  <to>
                    <xdr:col>6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741" r:id="rId6" name="Button 5">
              <controlPr defaultSize="0" print="0" autoFill="0" autoPict="0" macro="[0]!goInventoryAdj">
                <anchor moveWithCells="1" sizeWithCells="1">
                  <from>
                    <xdr:col>3</xdr:col>
                    <xdr:colOff>1209675</xdr:colOff>
                    <xdr:row>2</xdr:row>
                    <xdr:rowOff>161925</xdr:rowOff>
                  </from>
                  <to>
                    <xdr:col>4</xdr:col>
                    <xdr:colOff>1381125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>
    <tabColor rgb="FF0070C0"/>
  </sheetPr>
  <dimension ref="C1:AD7"/>
  <sheetViews>
    <sheetView showGridLines="0" zoomScale="80" zoomScaleNormal="80" workbookViewId="0">
      <pane ySplit="7" topLeftCell="A8" activePane="bottomLeft" state="frozen"/>
      <selection pane="bottomLeft" activeCell="K25" sqref="K25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249" customWidth="1"/>
    <col min="5" max="5" width="26.28515625" style="416" customWidth="1"/>
    <col min="6" max="6" width="13.28515625" style="391" customWidth="1"/>
    <col min="7" max="7" width="13" style="138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>
      <c r="C1" s="126"/>
      <c r="D1" s="212"/>
      <c r="E1" s="416"/>
      <c r="F1" s="391"/>
      <c r="G1" s="1386"/>
    </row>
    <row r="2" spans="3:30" s="13" customFormat="1" ht="23.25">
      <c r="C2" s="126"/>
      <c r="D2" s="212"/>
      <c r="E2" s="416"/>
      <c r="F2" s="391"/>
      <c r="G2" s="1386"/>
    </row>
    <row r="3" spans="3:30" s="13" customFormat="1" ht="23.25">
      <c r="C3" s="126"/>
      <c r="D3" s="212"/>
      <c r="E3" s="416"/>
      <c r="F3" s="391"/>
      <c r="G3" s="1386"/>
    </row>
    <row r="4" spans="3:30" s="13" customFormat="1" ht="32.25" customHeight="1">
      <c r="C4" s="126"/>
      <c r="D4" s="212"/>
      <c r="E4" s="424"/>
      <c r="F4" s="1001"/>
      <c r="G4" s="1387"/>
    </row>
    <row r="5" spans="3:30" s="13" customFormat="1" ht="26.25" customHeight="1">
      <c r="C5" s="126"/>
      <c r="D5" s="212"/>
      <c r="E5" s="416"/>
      <c r="F5" s="391"/>
      <c r="G5" s="1386"/>
    </row>
    <row r="6" spans="3:30" s="13" customFormat="1" ht="25.5">
      <c r="C6" s="304" t="s">
        <v>354</v>
      </c>
      <c r="D6" s="305" t="s">
        <v>843</v>
      </c>
      <c r="E6" s="305" t="s">
        <v>74</v>
      </c>
      <c r="F6" s="304" t="s">
        <v>844</v>
      </c>
      <c r="G6" s="413" t="s">
        <v>841</v>
      </c>
      <c r="H6" s="304" t="s">
        <v>355</v>
      </c>
      <c r="I6" s="304" t="s">
        <v>356</v>
      </c>
      <c r="J6" s="304" t="s">
        <v>306</v>
      </c>
      <c r="K6" s="304" t="s">
        <v>306</v>
      </c>
      <c r="L6" s="304" t="s">
        <v>357</v>
      </c>
      <c r="M6" s="304" t="s">
        <v>357</v>
      </c>
      <c r="N6" s="304" t="s">
        <v>358</v>
      </c>
      <c r="O6" s="304" t="s">
        <v>359</v>
      </c>
      <c r="P6" s="304" t="s">
        <v>360</v>
      </c>
      <c r="Q6" s="304" t="s">
        <v>360</v>
      </c>
      <c r="R6" s="304" t="s">
        <v>361</v>
      </c>
      <c r="S6" s="304" t="s">
        <v>362</v>
      </c>
      <c r="T6" s="304" t="s">
        <v>363</v>
      </c>
      <c r="X6" s="13" t="s">
        <v>355</v>
      </c>
      <c r="Y6" s="13" t="s">
        <v>356</v>
      </c>
      <c r="Z6" s="13" t="s">
        <v>306</v>
      </c>
      <c r="AA6" s="13" t="s">
        <v>306</v>
      </c>
      <c r="AB6" s="13" t="s">
        <v>357</v>
      </c>
      <c r="AC6" s="13" t="s">
        <v>357</v>
      </c>
      <c r="AD6" s="13" t="s">
        <v>358</v>
      </c>
    </row>
    <row r="7" spans="3:30" ht="20.25" customHeight="1">
      <c r="C7" s="296" t="s">
        <v>343</v>
      </c>
      <c r="D7" s="418" t="s">
        <v>837</v>
      </c>
      <c r="E7" s="418" t="s">
        <v>92</v>
      </c>
      <c r="F7" s="296" t="s">
        <v>840</v>
      </c>
      <c r="G7" s="423" t="s">
        <v>577</v>
      </c>
      <c r="H7" s="296" t="s">
        <v>345</v>
      </c>
      <c r="I7" s="296" t="s">
        <v>346</v>
      </c>
      <c r="J7" s="296" t="s">
        <v>353</v>
      </c>
      <c r="K7" s="296" t="s">
        <v>2270</v>
      </c>
      <c r="L7" s="296" t="s">
        <v>347</v>
      </c>
      <c r="M7" s="296" t="s">
        <v>2271</v>
      </c>
      <c r="N7" s="296" t="s">
        <v>348</v>
      </c>
      <c r="O7" s="296" t="s">
        <v>349</v>
      </c>
      <c r="P7" s="296" t="s">
        <v>350</v>
      </c>
      <c r="Q7" s="296" t="s">
        <v>2272</v>
      </c>
      <c r="R7" s="296" t="s">
        <v>351</v>
      </c>
      <c r="S7" s="296" t="s">
        <v>352</v>
      </c>
      <c r="T7" s="296" t="s">
        <v>364</v>
      </c>
      <c r="X7" s="126" t="s">
        <v>345</v>
      </c>
      <c r="Y7" s="126" t="s">
        <v>346</v>
      </c>
      <c r="Z7" s="126" t="s">
        <v>353</v>
      </c>
      <c r="AA7" s="126" t="s">
        <v>2270</v>
      </c>
      <c r="AB7" s="126" t="s">
        <v>347</v>
      </c>
      <c r="AC7" s="126" t="s">
        <v>2271</v>
      </c>
      <c r="AD7" s="126" t="s">
        <v>348</v>
      </c>
    </row>
  </sheetData>
  <phoneticPr fontId="3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3762" r:id="rId4" name="Button 2">
              <controlPr defaultSize="0" print="0" autoFill="0" autoPict="0" macro="[0]!goInventoryAdj">
                <anchor moveWithCells="1" sizeWithCells="1">
                  <from>
                    <xdr:col>20</xdr:col>
                    <xdr:colOff>142875</xdr:colOff>
                    <xdr:row>5</xdr:row>
                    <xdr:rowOff>9525</xdr:rowOff>
                  </from>
                  <to>
                    <xdr:col>22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763" r:id="rId5" name="Button 3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190500</xdr:rowOff>
                  </from>
                  <to>
                    <xdr:col>3</xdr:col>
                    <xdr:colOff>38100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764" r:id="rId6" name="Button 4">
              <controlPr defaultSize="0" print="0" autoFill="0" autoPict="0" macro="[0]!goAddInvoice">
                <anchor moveWithCells="1" sizeWithCells="1">
                  <from>
                    <xdr:col>20</xdr:col>
                    <xdr:colOff>104775</xdr:colOff>
                    <xdr:row>3</xdr:row>
                    <xdr:rowOff>133350</xdr:rowOff>
                  </from>
                  <to>
                    <xdr:col>21</xdr:col>
                    <xdr:colOff>809625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>
    <tabColor rgb="FF0070C0"/>
  </sheetPr>
  <dimension ref="C1:Z7"/>
  <sheetViews>
    <sheetView showGridLines="0" zoomScale="90" zoomScaleNormal="90" workbookViewId="0">
      <pane ySplit="7" topLeftCell="A8" activePane="bottomLeft" state="frozen"/>
      <selection pane="bottomLeft" activeCell="C3" sqref="C3"/>
    </sheetView>
  </sheetViews>
  <sheetFormatPr defaultColWidth="12.5703125" defaultRowHeight="23.1" customHeight="1"/>
  <cols>
    <col min="1" max="1" width="2.5703125" style="133" customWidth="1"/>
    <col min="2" max="2" width="3.7109375" style="133" customWidth="1"/>
    <col min="3" max="3" width="13.140625" style="126" customWidth="1"/>
    <col min="4" max="4" width="19.140625" style="249" customWidth="1"/>
    <col min="5" max="5" width="36.140625" style="391" customWidth="1"/>
    <col min="6" max="6" width="15.85546875" style="127" bestFit="1" customWidth="1"/>
    <col min="7" max="7" width="16.5703125" style="126" bestFit="1" customWidth="1"/>
    <col min="8" max="8" width="17.7109375" style="415" customWidth="1"/>
    <col min="9" max="9" width="12" style="415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475" customWidth="1"/>
    <col min="20" max="16384" width="12.5703125" style="133"/>
  </cols>
  <sheetData>
    <row r="1" spans="3:26" customFormat="1" ht="23.25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9"/>
    </row>
    <row r="2" spans="3:26" customFormat="1" ht="23.25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9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9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9"/>
      <c r="U4" s="126"/>
      <c r="V4" s="126"/>
      <c r="W4" s="381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9"/>
    </row>
    <row r="6" spans="3:26" customFormat="1" ht="25.5">
      <c r="C6" s="304" t="s">
        <v>354</v>
      </c>
      <c r="D6" s="304" t="s">
        <v>843</v>
      </c>
      <c r="E6" s="304" t="s">
        <v>74</v>
      </c>
      <c r="F6" s="304" t="s">
        <v>372</v>
      </c>
      <c r="G6" s="304" t="s">
        <v>842</v>
      </c>
      <c r="H6" s="304" t="s">
        <v>841</v>
      </c>
      <c r="I6" s="304" t="s">
        <v>99</v>
      </c>
      <c r="J6" s="304" t="s">
        <v>305</v>
      </c>
      <c r="K6" s="304" t="s">
        <v>306</v>
      </c>
      <c r="L6" s="304" t="s">
        <v>357</v>
      </c>
      <c r="M6" s="304" t="s">
        <v>358</v>
      </c>
      <c r="N6" s="304" t="s">
        <v>359</v>
      </c>
      <c r="O6" s="304" t="s">
        <v>360</v>
      </c>
      <c r="P6" s="304" t="s">
        <v>361</v>
      </c>
      <c r="Q6" s="304" t="s">
        <v>362</v>
      </c>
      <c r="R6" s="304" t="s">
        <v>363</v>
      </c>
      <c r="S6" s="139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6" t="s">
        <v>343</v>
      </c>
      <c r="D7" s="296" t="s">
        <v>837</v>
      </c>
      <c r="E7" s="296" t="s">
        <v>92</v>
      </c>
      <c r="F7" s="296" t="s">
        <v>266</v>
      </c>
      <c r="G7" s="296" t="s">
        <v>840</v>
      </c>
      <c r="H7" s="296" t="s">
        <v>577</v>
      </c>
      <c r="I7" s="296" t="s">
        <v>96</v>
      </c>
      <c r="J7" s="296" t="s">
        <v>346</v>
      </c>
      <c r="K7" s="296" t="s">
        <v>353</v>
      </c>
      <c r="L7" s="296" t="s">
        <v>347</v>
      </c>
      <c r="M7" s="296" t="s">
        <v>348</v>
      </c>
      <c r="N7" s="296" t="s">
        <v>349</v>
      </c>
      <c r="O7" s="296" t="s">
        <v>350</v>
      </c>
      <c r="P7" s="296" t="s">
        <v>351</v>
      </c>
      <c r="Q7" s="296" t="s">
        <v>352</v>
      </c>
      <c r="R7" s="296" t="s">
        <v>364</v>
      </c>
      <c r="S7" s="12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5938" r:id="rId4" name="Button 2">
              <controlPr defaultSize="0" print="0" autoFill="0" autoPict="0" macro="[0]!goInventoryAdj">
                <anchor moveWithCells="1" sizeWithCells="1">
                  <from>
                    <xdr:col>18</xdr:col>
                    <xdr:colOff>200025</xdr:colOff>
                    <xdr:row>5</xdr:row>
                    <xdr:rowOff>38100</xdr:rowOff>
                  </from>
                  <to>
                    <xdr:col>18</xdr:col>
                    <xdr:colOff>1619250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939" r:id="rId5" name="Button 3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133350</xdr:rowOff>
                  </from>
                  <to>
                    <xdr:col>3</xdr:col>
                    <xdr:colOff>219075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940" r:id="rId6" name="Button 4">
              <controlPr defaultSize="0" print="0" autoFill="0" autoPict="0" macro="[0]!goAddInvoice">
                <anchor moveWithCells="1" sizeWithCells="1">
                  <from>
                    <xdr:col>18</xdr:col>
                    <xdr:colOff>200025</xdr:colOff>
                    <xdr:row>3</xdr:row>
                    <xdr:rowOff>114300</xdr:rowOff>
                  </from>
                  <to>
                    <xdr:col>18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>
    <tabColor rgb="FF0070C0"/>
  </sheetPr>
  <dimension ref="C1:AD7"/>
  <sheetViews>
    <sheetView showGridLines="0" zoomScale="80" zoomScaleNormal="80" workbookViewId="0">
      <pane ySplit="7" topLeftCell="A8" activePane="bottomLeft" state="frozen"/>
      <selection pane="bottomLeft" activeCell="E12" sqref="E1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249" customWidth="1"/>
    <col min="5" max="5" width="26.28515625" style="416" customWidth="1"/>
    <col min="6" max="6" width="13.28515625" style="391" customWidth="1"/>
    <col min="7" max="7" width="13" style="138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>
      <c r="C1" s="126"/>
      <c r="D1" s="212"/>
      <c r="E1" s="416"/>
      <c r="F1" s="391"/>
      <c r="G1" s="1386"/>
    </row>
    <row r="2" spans="3:30" s="13" customFormat="1" ht="23.25">
      <c r="C2" s="126"/>
      <c r="D2" s="212"/>
      <c r="E2" s="416"/>
      <c r="F2" s="391"/>
      <c r="G2" s="1386"/>
    </row>
    <row r="3" spans="3:30" s="13" customFormat="1" ht="23.25">
      <c r="C3" s="126"/>
      <c r="D3" s="212"/>
      <c r="E3" s="416"/>
      <c r="F3" s="391"/>
      <c r="G3" s="1386"/>
    </row>
    <row r="4" spans="3:30" s="13" customFormat="1" ht="32.25" customHeight="1">
      <c r="C4" s="126"/>
      <c r="D4" s="212"/>
      <c r="E4" s="424"/>
      <c r="F4" s="1001"/>
      <c r="G4" s="1387"/>
    </row>
    <row r="5" spans="3:30" s="13" customFormat="1" ht="26.25" customHeight="1">
      <c r="C5" s="126"/>
      <c r="D5" s="212"/>
      <c r="E5" s="416"/>
      <c r="F5" s="391"/>
      <c r="G5" s="1386"/>
    </row>
    <row r="6" spans="3:30" s="13" customFormat="1" ht="25.5">
      <c r="C6" s="304" t="s">
        <v>354</v>
      </c>
      <c r="D6" s="305" t="s">
        <v>843</v>
      </c>
      <c r="E6" s="305" t="s">
        <v>74</v>
      </c>
      <c r="F6" s="304" t="s">
        <v>844</v>
      </c>
      <c r="G6" s="413" t="s">
        <v>841</v>
      </c>
      <c r="H6" s="304" t="s">
        <v>355</v>
      </c>
      <c r="I6" s="304" t="s">
        <v>356</v>
      </c>
      <c r="J6" s="304" t="s">
        <v>306</v>
      </c>
      <c r="K6" s="304" t="s">
        <v>306</v>
      </c>
      <c r="L6" s="304" t="s">
        <v>357</v>
      </c>
      <c r="M6" s="304" t="s">
        <v>357</v>
      </c>
      <c r="N6" s="304" t="s">
        <v>358</v>
      </c>
      <c r="O6" s="304" t="s">
        <v>359</v>
      </c>
      <c r="P6" s="304" t="s">
        <v>360</v>
      </c>
      <c r="Q6" s="304" t="s">
        <v>360</v>
      </c>
      <c r="R6" s="304" t="s">
        <v>361</v>
      </c>
      <c r="S6" s="304" t="s">
        <v>362</v>
      </c>
      <c r="T6" s="304" t="s">
        <v>363</v>
      </c>
      <c r="X6" s="13" t="s">
        <v>355</v>
      </c>
      <c r="Y6" s="13" t="s">
        <v>356</v>
      </c>
      <c r="Z6" s="13" t="s">
        <v>306</v>
      </c>
      <c r="AA6" s="13" t="s">
        <v>306</v>
      </c>
      <c r="AB6" s="13" t="s">
        <v>357</v>
      </c>
      <c r="AC6" s="13" t="s">
        <v>357</v>
      </c>
      <c r="AD6" s="13" t="s">
        <v>358</v>
      </c>
    </row>
    <row r="7" spans="3:30" ht="20.25" customHeight="1">
      <c r="C7" s="296" t="s">
        <v>343</v>
      </c>
      <c r="D7" s="418" t="s">
        <v>837</v>
      </c>
      <c r="E7" s="418" t="s">
        <v>92</v>
      </c>
      <c r="F7" s="296" t="s">
        <v>840</v>
      </c>
      <c r="G7" s="423" t="s">
        <v>577</v>
      </c>
      <c r="H7" s="296" t="s">
        <v>345</v>
      </c>
      <c r="I7" s="296" t="s">
        <v>346</v>
      </c>
      <c r="J7" s="296" t="s">
        <v>353</v>
      </c>
      <c r="K7" s="296" t="s">
        <v>2270</v>
      </c>
      <c r="L7" s="296" t="s">
        <v>347</v>
      </c>
      <c r="M7" s="296" t="s">
        <v>2271</v>
      </c>
      <c r="N7" s="296" t="s">
        <v>348</v>
      </c>
      <c r="O7" s="296" t="s">
        <v>349</v>
      </c>
      <c r="P7" s="296" t="s">
        <v>350</v>
      </c>
      <c r="Q7" s="296" t="s">
        <v>2272</v>
      </c>
      <c r="R7" s="296" t="s">
        <v>351</v>
      </c>
      <c r="S7" s="296" t="s">
        <v>352</v>
      </c>
      <c r="T7" s="296" t="s">
        <v>364</v>
      </c>
      <c r="X7" s="126" t="s">
        <v>345</v>
      </c>
      <c r="Y7" s="126" t="s">
        <v>346</v>
      </c>
      <c r="Z7" s="126" t="s">
        <v>353</v>
      </c>
      <c r="AA7" s="126" t="s">
        <v>2270</v>
      </c>
      <c r="AB7" s="126" t="s">
        <v>347</v>
      </c>
      <c r="AC7" s="126" t="s">
        <v>2271</v>
      </c>
      <c r="AD7" s="126" t="s">
        <v>348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0177" r:id="rId4" name="Button 1">
              <controlPr defaultSize="0" print="0" autoFill="0" autoPict="0" macro="[0]!goInventoryAdj">
                <anchor moveWithCells="1" sizeWithCells="1">
                  <from>
                    <xdr:col>20</xdr:col>
                    <xdr:colOff>142875</xdr:colOff>
                    <xdr:row>5</xdr:row>
                    <xdr:rowOff>9525</xdr:rowOff>
                  </from>
                  <to>
                    <xdr:col>22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178" r:id="rId5" name="Button 2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190500</xdr:rowOff>
                  </from>
                  <to>
                    <xdr:col>3</xdr:col>
                    <xdr:colOff>38100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179" r:id="rId6" name="Button 3">
              <controlPr defaultSize="0" print="0" autoFill="0" autoPict="0" macro="[0]!goAddInvoice">
                <anchor moveWithCells="1" sizeWithCells="1">
                  <from>
                    <xdr:col>20</xdr:col>
                    <xdr:colOff>104775</xdr:colOff>
                    <xdr:row>3</xdr:row>
                    <xdr:rowOff>133350</xdr:rowOff>
                  </from>
                  <to>
                    <xdr:col>21</xdr:col>
                    <xdr:colOff>809625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>
    <tabColor rgb="FF0070C0"/>
  </sheetPr>
  <dimension ref="C1:Z10"/>
  <sheetViews>
    <sheetView showGridLines="0" zoomScale="90" zoomScaleNormal="90" workbookViewId="0">
      <pane ySplit="7" topLeftCell="A8" activePane="bottomLeft" state="frozen"/>
      <selection pane="bottomLeft" activeCell="D10" sqref="D10"/>
    </sheetView>
  </sheetViews>
  <sheetFormatPr defaultColWidth="12.5703125" defaultRowHeight="23.1" customHeight="1"/>
  <cols>
    <col min="1" max="1" width="2.5703125" style="133" customWidth="1"/>
    <col min="2" max="2" width="3.7109375" style="133" customWidth="1"/>
    <col min="3" max="3" width="13.140625" style="126" customWidth="1"/>
    <col min="4" max="4" width="19.140625" style="249" customWidth="1"/>
    <col min="5" max="5" width="36.140625" style="391" customWidth="1"/>
    <col min="6" max="6" width="15.85546875" style="127" bestFit="1" customWidth="1"/>
    <col min="7" max="7" width="13.5703125" style="126" customWidth="1"/>
    <col min="8" max="8" width="17.7109375" style="415" customWidth="1"/>
    <col min="9" max="9" width="12" style="415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475" customWidth="1"/>
    <col min="20" max="16384" width="12.5703125" style="133"/>
  </cols>
  <sheetData>
    <row r="1" spans="3:26" customFormat="1" ht="23.25">
      <c r="C1" s="13"/>
      <c r="D1" s="212"/>
      <c r="E1" s="127"/>
      <c r="F1" s="127"/>
      <c r="G1" s="13"/>
      <c r="H1" s="412"/>
      <c r="I1" s="412"/>
      <c r="J1" s="13"/>
      <c r="K1" s="13"/>
      <c r="L1" s="13"/>
      <c r="M1" s="13"/>
      <c r="N1" s="13"/>
      <c r="O1" s="13"/>
      <c r="P1" s="13"/>
      <c r="Q1" s="13"/>
      <c r="R1" s="13"/>
      <c r="S1" s="139"/>
    </row>
    <row r="2" spans="3:26" customFormat="1" ht="23.25">
      <c r="C2" s="13"/>
      <c r="D2" s="212"/>
      <c r="E2" s="127"/>
      <c r="F2" s="127"/>
      <c r="G2" s="13"/>
      <c r="H2" s="412"/>
      <c r="I2" s="412"/>
      <c r="J2" s="13"/>
      <c r="K2" s="13"/>
      <c r="L2" s="13"/>
      <c r="M2" s="13"/>
      <c r="N2" s="13"/>
      <c r="O2" s="13"/>
      <c r="P2" s="13"/>
      <c r="Q2" s="13"/>
      <c r="R2" s="13"/>
      <c r="S2" s="139"/>
    </row>
    <row r="3" spans="3:26" customFormat="1" ht="23.25">
      <c r="C3" s="13"/>
      <c r="D3" s="249"/>
      <c r="E3" s="127"/>
      <c r="F3" s="127"/>
      <c r="G3" s="13"/>
      <c r="H3" s="412"/>
      <c r="I3" s="412"/>
      <c r="J3" s="13"/>
      <c r="K3" s="13"/>
      <c r="L3" s="13"/>
      <c r="M3" s="13"/>
      <c r="N3" s="13"/>
      <c r="O3" s="13"/>
      <c r="P3" s="13"/>
      <c r="Q3" s="13"/>
      <c r="R3" s="13"/>
      <c r="S3" s="139"/>
    </row>
    <row r="4" spans="3:26" customFormat="1" ht="32.25" customHeight="1">
      <c r="C4" s="13"/>
      <c r="D4" s="212"/>
      <c r="E4" s="127"/>
      <c r="F4" s="127"/>
      <c r="G4" s="13"/>
      <c r="H4" s="412"/>
      <c r="I4" s="412"/>
      <c r="J4" s="13"/>
      <c r="K4" s="13"/>
      <c r="L4" s="13"/>
      <c r="M4" s="13"/>
      <c r="N4" s="13"/>
      <c r="O4" s="13"/>
      <c r="P4" s="13"/>
      <c r="Q4" s="13"/>
      <c r="R4" s="13"/>
      <c r="S4" s="139"/>
      <c r="U4" s="249"/>
      <c r="V4" s="249"/>
      <c r="W4" s="152"/>
      <c r="X4" s="127"/>
    </row>
    <row r="5" spans="3:26" customFormat="1" ht="8.25" customHeight="1">
      <c r="C5" s="13"/>
      <c r="D5" s="212"/>
      <c r="E5" s="127"/>
      <c r="F5" s="127"/>
      <c r="G5" s="13"/>
      <c r="H5" s="412"/>
      <c r="I5" s="412"/>
      <c r="J5" s="13"/>
      <c r="K5" s="13"/>
      <c r="L5" s="13"/>
      <c r="M5" s="13"/>
      <c r="N5" s="13"/>
      <c r="O5" s="13"/>
      <c r="P5" s="13"/>
      <c r="Q5" s="13"/>
      <c r="R5" s="13"/>
      <c r="S5" s="139"/>
    </row>
    <row r="6" spans="3:26" customFormat="1" ht="25.5">
      <c r="C6" s="304" t="s">
        <v>354</v>
      </c>
      <c r="D6" s="305" t="s">
        <v>843</v>
      </c>
      <c r="E6" s="304" t="s">
        <v>74</v>
      </c>
      <c r="F6" s="304" t="s">
        <v>372</v>
      </c>
      <c r="G6" s="304" t="s">
        <v>842</v>
      </c>
      <c r="H6" s="413" t="s">
        <v>841</v>
      </c>
      <c r="I6" s="413" t="s">
        <v>99</v>
      </c>
      <c r="J6" s="304" t="s">
        <v>305</v>
      </c>
      <c r="K6" s="304" t="s">
        <v>306</v>
      </c>
      <c r="L6" s="304" t="s">
        <v>357</v>
      </c>
      <c r="M6" s="304" t="s">
        <v>358</v>
      </c>
      <c r="N6" s="304" t="s">
        <v>359</v>
      </c>
      <c r="O6" s="304" t="s">
        <v>360</v>
      </c>
      <c r="P6" s="304" t="s">
        <v>361</v>
      </c>
      <c r="Q6" s="304" t="s">
        <v>362</v>
      </c>
      <c r="R6" s="304" t="s">
        <v>363</v>
      </c>
      <c r="S6" s="139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6" t="s">
        <v>343</v>
      </c>
      <c r="D7" s="418" t="s">
        <v>837</v>
      </c>
      <c r="E7" s="296" t="s">
        <v>92</v>
      </c>
      <c r="F7" s="296" t="s">
        <v>266</v>
      </c>
      <c r="G7" s="296" t="s">
        <v>840</v>
      </c>
      <c r="H7" s="423" t="s">
        <v>577</v>
      </c>
      <c r="I7" s="423" t="s">
        <v>96</v>
      </c>
      <c r="J7" s="296" t="s">
        <v>346</v>
      </c>
      <c r="K7" s="296" t="s">
        <v>353</v>
      </c>
      <c r="L7" s="296" t="s">
        <v>347</v>
      </c>
      <c r="M7" s="296" t="s">
        <v>348</v>
      </c>
      <c r="N7" s="296" t="s">
        <v>349</v>
      </c>
      <c r="O7" s="296" t="s">
        <v>350</v>
      </c>
      <c r="P7" s="296" t="s">
        <v>351</v>
      </c>
      <c r="Q7" s="296" t="s">
        <v>352</v>
      </c>
      <c r="R7" s="296" t="s">
        <v>364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5747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209550</xdr:colOff>
                    <xdr:row>2</xdr:row>
                    <xdr:rowOff>133350</xdr:rowOff>
                  </from>
                  <to>
                    <xdr:col>3</xdr:col>
                    <xdr:colOff>219075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474" r:id="rId5" name="Button 2">
              <controlPr defaultSize="0" print="0" autoFill="0" autoPict="0" macro="[0]!goInventoryAdj">
                <anchor moveWithCells="1" sizeWithCells="1">
                  <from>
                    <xdr:col>18</xdr:col>
                    <xdr:colOff>200025</xdr:colOff>
                    <xdr:row>5</xdr:row>
                    <xdr:rowOff>38100</xdr:rowOff>
                  </from>
                  <to>
                    <xdr:col>18</xdr:col>
                    <xdr:colOff>1619250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475" r:id="rId6" name="Button 3">
              <controlPr defaultSize="0" print="0" autoFill="0" autoPict="0" macro="[0]!goAddInvoice">
                <anchor moveWithCells="1" sizeWithCells="1">
                  <from>
                    <xdr:col>18</xdr:col>
                    <xdr:colOff>200025</xdr:colOff>
                    <xdr:row>3</xdr:row>
                    <xdr:rowOff>114300</xdr:rowOff>
                  </from>
                  <to>
                    <xdr:col>18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5" tint="-0.249977111117893"/>
  </sheetPr>
  <dimension ref="B1:W84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206" customWidth="1"/>
    <col min="3" max="3" width="22.140625" style="206" customWidth="1"/>
    <col min="4" max="4" width="32" style="206" customWidth="1"/>
    <col min="5" max="5" width="24.140625" style="206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867" customWidth="1"/>
    <col min="11" max="11" width="11.140625" style="161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490"/>
      <c r="C1" s="202"/>
      <c r="D1" s="202"/>
      <c r="E1" s="202"/>
      <c r="F1" s="202"/>
      <c r="G1" s="202"/>
      <c r="H1" s="202"/>
      <c r="I1" s="202"/>
      <c r="J1" s="860"/>
      <c r="K1" s="400"/>
    </row>
    <row r="2" spans="2:18" ht="46.5" customHeight="1">
      <c r="B2" s="1605" t="s">
        <v>129</v>
      </c>
      <c r="C2" s="1605"/>
      <c r="D2" s="1605"/>
      <c r="E2" s="1605"/>
      <c r="F2" s="1605"/>
      <c r="G2" s="1605"/>
      <c r="H2" s="1605"/>
      <c r="I2" s="1605"/>
      <c r="J2" s="153"/>
      <c r="K2"/>
    </row>
    <row r="3" spans="2:18" ht="27.75" customHeight="1">
      <c r="B3" s="1604" t="str">
        <f>$L$4&amp;"( "&amp;$N$4&amp;" - "&amp;DAY($O$4)&amp;"/"&amp;$M$3&amp;"/"&amp;YEAR($O$4)&amp;" )"</f>
        <v>ប្រចាំខែ មីនា  ( 01/03/2026 - 31/03/2026 )</v>
      </c>
      <c r="C3" s="1604"/>
      <c r="D3" s="1604"/>
      <c r="E3" s="1604"/>
      <c r="F3" s="1604"/>
      <c r="G3" s="1604"/>
      <c r="H3" s="1604"/>
      <c r="I3" s="1604"/>
      <c r="J3" s="153"/>
      <c r="K3"/>
      <c r="L3" s="129" t="s">
        <v>26</v>
      </c>
      <c r="M3" s="133" t="str">
        <f>MID(L3,1,2)</f>
        <v>03</v>
      </c>
      <c r="N3" s="13">
        <v>2026</v>
      </c>
      <c r="P3" s="419">
        <v>45292</v>
      </c>
      <c r="Q3" s="419">
        <f>EOMONTH(DATE(YEAR(N4),MONTH(N4),1),-1)</f>
        <v>46081</v>
      </c>
    </row>
    <row r="4" spans="2:18" ht="29.25" customHeight="1">
      <c r="B4" s="528" t="s">
        <v>59</v>
      </c>
      <c r="C4" s="528" t="s">
        <v>130</v>
      </c>
      <c r="D4" s="528" t="s">
        <v>74</v>
      </c>
      <c r="E4" s="528" t="s">
        <v>75</v>
      </c>
      <c r="F4" s="528" t="s">
        <v>1861</v>
      </c>
      <c r="G4" s="528" t="str">
        <f>"ស្តុកផលិត"&amp;" ខែ"&amp;MID(L3,4,50)</f>
        <v>ស្តុកផលិត ខែមីនា</v>
      </c>
      <c r="H4" s="528" t="str">
        <f>"ស្តុកលក់"&amp;" ខែ"&amp;MID(L3,4,50)</f>
        <v>ស្តុកលក់ ខែមីនា</v>
      </c>
      <c r="I4" s="528" t="s">
        <v>131</v>
      </c>
      <c r="J4" s="861" t="s">
        <v>314</v>
      </c>
      <c r="K4"/>
      <c r="L4" s="129" t="str">
        <f>"ប្រចាំខែ "&amp;MID(L3,4,50)&amp;"  "</f>
        <v xml:space="preserve">ប្រចាំខែ មីនា  </v>
      </c>
      <c r="N4" s="126" t="str">
        <f>"01/"&amp;M3&amp;"/"&amp;N3</f>
        <v>01/03/2026</v>
      </c>
      <c r="O4" s="415">
        <f>EOMONTH(N4,0)</f>
        <v>46112</v>
      </c>
      <c r="P4" s="13"/>
      <c r="Q4" s="121"/>
    </row>
    <row r="5" spans="2:18" ht="21" customHeight="1">
      <c r="B5" s="529" t="s">
        <v>11</v>
      </c>
      <c r="C5" s="529" t="s">
        <v>132</v>
      </c>
      <c r="D5" s="529" t="s">
        <v>92</v>
      </c>
      <c r="E5" s="529" t="s">
        <v>15</v>
      </c>
      <c r="F5" s="529" t="s">
        <v>133</v>
      </c>
      <c r="G5" s="529" t="s">
        <v>134</v>
      </c>
      <c r="H5" s="529" t="s">
        <v>247</v>
      </c>
      <c r="I5" s="529" t="s">
        <v>135</v>
      </c>
      <c r="J5" s="862" t="s">
        <v>315</v>
      </c>
      <c r="K5"/>
      <c r="L5" s="477" t="s">
        <v>847</v>
      </c>
      <c r="N5" s="126" t="str">
        <f>"01/01/"&amp;N3</f>
        <v>01/01/2026</v>
      </c>
      <c r="O5" s="415">
        <f ca="1">NOW()</f>
        <v>46185.313896643522</v>
      </c>
      <c r="P5" s="415">
        <f>EOMONTH(N5,-1)</f>
        <v>46022</v>
      </c>
    </row>
    <row r="6" spans="2:18" ht="35.25" hidden="1" customHeight="1">
      <c r="B6" s="2"/>
      <c r="C6" s="534"/>
      <c r="D6" s="534"/>
      <c r="E6" s="534"/>
      <c r="F6" s="534"/>
      <c r="G6" s="534"/>
      <c r="H6" s="534"/>
      <c r="I6" s="534"/>
      <c r="J6" s="153"/>
      <c r="K6"/>
    </row>
    <row r="7" spans="2:18" ht="24.95" customHeight="1">
      <c r="B7" s="511">
        <v>1</v>
      </c>
      <c r="C7" s="523" t="str">
        <f>IFERROR(IF(D7&lt;&gt;"",VLOOKUP(MID(D7,1,2),product_list,2,FALSE),""),"")</f>
        <v/>
      </c>
      <c r="D7" s="524" t="s">
        <v>1932</v>
      </c>
      <c r="E7" s="1032" t="str">
        <f t="shared" ref="E7:E17" si="0">IF(D7="","",MID(VLOOKUP(MID(D7,1,5)*1,product_list,11,FALSE),5,50))</f>
        <v>Case/6boxs</v>
      </c>
      <c r="F7" s="511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SalesByItemData!$I$3:$I$4995,SalesByItemData!$G$3:$G$4995,C7,SalesByItemData!$E$3:$E$4995,"&gt;="&amp;$P$3,SalesByItemData!$E$3:$E$4995,"&lt;="&amp;$Q$3,SalesByItemData!$X$3:$X$4995,"=1")+SUMIFS(SalesByItemData!$J$3:$J$4995,SalesByItemData!$G$3:$G$4995,C7,SalesByItemData!$E$3:$E$4995,"&gt;="&amp;$P$3,SalesByItemData!$E$3:$E$4995,"&lt;="&amp;$Q$3,SalesByItemData!$X$3:$X$4995,"&gt;0")=0),0,SUMIFS(SalesByItemData!$I$3:$I$4995,SalesByItemData!$G$3:$G$4995,C7,SalesByItemData!$E$3:$E$4995,"&gt;="&amp;$P$3,SalesByItemData!$E$3:$E$4995,"&lt;="&amp;$Q$3,SalesByItemData!$X$3:$X$4995,"=1")+SUMIFS(SalesByItemData!$J$3:$J$4995,SalesByItemData!$G$3:$G$4995,C7,SalesByItemData!$E$3:$E$4995,"&gt;="&amp;$P$3,SalesByItemData!$E$3:$E$4995,"&lt;="&amp;$Q$3,SalesByItemData!$X$3:$X$4995,"&gt;0"))</f>
        <v>#REF!</v>
      </c>
      <c r="G7" s="511" t="e">
        <f>IF(OR(C7="",SUMIFS(#REF!,#REF!,C7,#REF!,$M$3,#REF!,$N$3,#REF!,"=1")=0),"",SUMIFS(#REF!,#REF!,C7,#REF!,$M$3,#REF!,$N$3,#REF!,"=1"))</f>
        <v>#REF!</v>
      </c>
      <c r="H7" s="511" t="str">
        <f>IFERROR(IF(OR(C7="",SUMIFS(SalesByItemData!$I$3:$I$4995,SalesByItemData!$G$3:$G$4995,C7,SalesByItemData!$V$3:$V$4995,$M$3*1,SalesByItemData!$W$3:$W$4995,$N$3,SalesByItemData!$A$3:$A$4995,"&gt;0")+SUMIFS(SalesByItemData!$J$3:$J$4995,SalesByItemData!$G$3:$G$4995,C7,SalesByItemData!$V$3:$V$4995,$M$3*1,SalesByItemData!$W$3:$W$4995,$N$3,SalesByItemData!$A$3:$A$4995,"&gt;0")=0),"",SUMIFS(SalesByItemData!$I$3:$I$4995,SalesByItemData!$G$3:$G$4995,C7,SalesByItemData!$V$3:$V$4995,$M$3*1,SalesByItemData!$W$3:$W$4995,$N$3,SalesByItemData!$A$3:$A$4995,"&gt;0")+SUMIFS(SalesByItemData!$J$3:$J$4995,SalesByItemData!$G$3:$G$4995,C7,SalesByItemData!$V$3:$V$4995,$M$3*1,SalesByItemData!$W$3:$W$4995,$N$3,SalesByItemData!$A$3:$A$4995,"&gt;0",SalesByItemData!$X$3:$X$4995,"&gt;0")),"")</f>
        <v/>
      </c>
      <c r="I7" s="511" t="e">
        <f>IF((IF(F7="",0,F7)+IF(G7="",0,G7)-IF(H7="",0,H7))=0,"",IF(F7="",0,F7)+IF(G7="",0,G7)-IF(H7="",0,H7))</f>
        <v>#REF!</v>
      </c>
      <c r="J7" s="404"/>
      <c r="K7"/>
      <c r="R7" s="153"/>
    </row>
    <row r="8" spans="2:18" ht="24.95" customHeight="1">
      <c r="B8" s="511">
        <v>2</v>
      </c>
      <c r="C8" s="523" t="str">
        <f t="shared" ref="C8:C26" si="1">IFERROR(IF(D8&lt;&gt;"",VLOOKUP(MID(D8,1,2),product_list,2,FALSE),""),"")</f>
        <v/>
      </c>
      <c r="D8" s="524" t="s">
        <v>1930</v>
      </c>
      <c r="E8" s="1032" t="str">
        <f t="shared" si="0"/>
        <v>Case/12boxs</v>
      </c>
      <c r="F8" s="511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SalesByItemData!$I$3:$I$4995,SalesByItemData!$G$3:$G$4995,C8,SalesByItemData!$E$3:$E$4995,"&gt;="&amp;$P$3,SalesByItemData!$E$3:$E$4995,"&lt;="&amp;$Q$3,SalesByItemData!$X$3:$X$4995,"=1")+SUMIFS(SalesByItemData!$J$3:$J$4995,SalesByItemData!$G$3:$G$4995,C8,SalesByItemData!$E$3:$E$4995,"&gt;="&amp;$P$3,SalesByItemData!$E$3:$E$4995,"&lt;="&amp;$Q$3,SalesByItemData!$X$3:$X$4995,"&gt;0")=0),0,SUMIFS(SalesByItemData!$I$3:$I$4995,SalesByItemData!$G$3:$G$4995,C8,SalesByItemData!$E$3:$E$4995,"&gt;="&amp;$P$3,SalesByItemData!$E$3:$E$4995,"&lt;="&amp;$Q$3,SalesByItemData!$X$3:$X$4995,"=1")+SUMIFS(SalesByItemData!$J$3:$J$4995,SalesByItemData!$G$3:$G$4995,C8,SalesByItemData!$E$3:$E$4995,"&gt;="&amp;$P$3,SalesByItemData!$E$3:$E$4995,"&lt;="&amp;$Q$3,SalesByItemData!$X$3:$X$4995,"&gt;0"))</f>
        <v>#REF!</v>
      </c>
      <c r="G8" s="511" t="e">
        <f>IF(OR(C8="",SUMIFS(#REF!,#REF!,C8,#REF!,$M$3,#REF!,$N$3,#REF!,"=1")=0),"",SUMIFS(#REF!,#REF!,C8,#REF!,$M$3,#REF!,$N$3,#REF!,"=1"))</f>
        <v>#REF!</v>
      </c>
      <c r="H8" s="511" t="str">
        <f>IFERROR(IF(OR(C8="",SUMIFS(SalesByItemData!$I$3:$I$4995,SalesByItemData!$G$3:$G$4995,C8,SalesByItemData!$V$3:$V$4995,$M$3*1,SalesByItemData!$W$3:$W$4995,$N$3,SalesByItemData!$A$3:$A$4995,"&gt;0")+SUMIFS(SalesByItemData!$J$3:$J$4995,SalesByItemData!$G$3:$G$4995,C8,SalesByItemData!$V$3:$V$4995,$M$3*1,SalesByItemData!$W$3:$W$4995,$N$3,SalesByItemData!$A$3:$A$4995,"&gt;0")=0),"",SUMIFS(SalesByItemData!$I$3:$I$4995,SalesByItemData!$G$3:$G$4995,C8,SalesByItemData!$V$3:$V$4995,$M$3*1,SalesByItemData!$W$3:$W$4995,$N$3,SalesByItemData!$A$3:$A$4995,"&gt;0")+SUMIFS(SalesByItemData!$J$3:$J$4995,SalesByItemData!$G$3:$G$4995,C8,SalesByItemData!$V$3:$V$4995,$M$3*1,SalesByItemData!$W$3:$W$4995,$N$3,SalesByItemData!$A$3:$A$4995,"&gt;0",SalesByItemData!$X$3:$X$4995,"&gt;0")),"")</f>
        <v/>
      </c>
      <c r="I8" s="511" t="e">
        <f t="shared" ref="I8:I17" si="2">IF((IF(F8="",0,F8)+IF(G8="",0,G8)-IF(H8="",0,H8))=0,"",IF(F8="",0,F8)+IF(G8="",0,G8)-IF(H8="",0,H8))</f>
        <v>#REF!</v>
      </c>
      <c r="J8" s="404"/>
      <c r="K8"/>
      <c r="L8" s="13"/>
      <c r="M8" s="13"/>
      <c r="R8" s="153"/>
    </row>
    <row r="9" spans="2:18" ht="24.95" customHeight="1">
      <c r="B9" s="511">
        <v>3</v>
      </c>
      <c r="C9" s="523" t="str">
        <f t="shared" si="1"/>
        <v/>
      </c>
      <c r="D9" s="524" t="s">
        <v>1930</v>
      </c>
      <c r="E9" s="1032" t="str">
        <f t="shared" si="0"/>
        <v>Case/12boxs</v>
      </c>
      <c r="F9" s="511" t="e">
        <f>IF(OR(C9="",SUMIFS(#REF!,#REF!,C9,#REF!,"&gt;="&amp;$P$3,#REF!,"&lt;="&amp;$Q$3,#REF!,"=1")=0,SUMIFS(#REF!,#REF!,C9,#REF!,"&gt;="&amp;$P$3,#REF!,"&lt;="&amp;$Q$3,#REF!,"=1")=""),0,SUMIFS(#REF!,#REF!,C9,#REF!,"&gt;="&amp;$P$3,#REF!,"&lt;="&amp;$Q$3,#REF!,"=1"))-IF(OR(C9="",SUMIFS(SalesByItemData!$I$3:$I$4995,SalesByItemData!$G$3:$G$4995,C9,SalesByItemData!$E$3:$E$4995,"&gt;="&amp;$P$3,SalesByItemData!$E$3:$E$4995,"&lt;="&amp;$Q$3,SalesByItemData!$X$3:$X$4995,"=1")+SUMIFS(SalesByItemData!$J$3:$J$4995,SalesByItemData!$G$3:$G$4995,C9,SalesByItemData!$E$3:$E$4995,"&gt;="&amp;$P$3,SalesByItemData!$E$3:$E$4995,"&lt;="&amp;$Q$3,SalesByItemData!$X$3:$X$4995,"&gt;0")=0),0,SUMIFS(SalesByItemData!$I$3:$I$4995,SalesByItemData!$G$3:$G$4995,C9,SalesByItemData!$E$3:$E$4995,"&gt;="&amp;$P$3,SalesByItemData!$E$3:$E$4995,"&lt;="&amp;$Q$3,SalesByItemData!$X$3:$X$4995,"=1")+SUMIFS(SalesByItemData!$J$3:$J$4995,SalesByItemData!$G$3:$G$4995,C9,SalesByItemData!$E$3:$E$4995,"&gt;="&amp;$P$3,SalesByItemData!$E$3:$E$4995,"&lt;="&amp;$Q$3,SalesByItemData!$X$3:$X$4995,"&gt;0"))</f>
        <v>#REF!</v>
      </c>
      <c r="G9" s="511" t="e">
        <f>IF(OR(C9="",SUMIFS(#REF!,#REF!,C9,#REF!,$M$3,#REF!,$N$3,#REF!,"=1")=0),"",SUMIFS(#REF!,#REF!,C9,#REF!,$M$3,#REF!,$N$3,#REF!,"=1"))</f>
        <v>#REF!</v>
      </c>
      <c r="H9" s="511" t="str">
        <f>IFERROR(IF(OR(C9="",SUMIFS(SalesByItemData!$I$3:$I$4995,SalesByItemData!$G$3:$G$4995,C9,SalesByItemData!$V$3:$V$4995,$M$3*1,SalesByItemData!$W$3:$W$4995,$N$3,SalesByItemData!$A$3:$A$4995,"&gt;0")+SUMIFS(SalesByItemData!$J$3:$J$4995,SalesByItemData!$G$3:$G$4995,C9,SalesByItemData!$V$3:$V$4995,$M$3*1,SalesByItemData!$W$3:$W$4995,$N$3,SalesByItemData!$A$3:$A$4995,"&gt;0")=0),"",SUMIFS(SalesByItemData!$I$3:$I$4995,SalesByItemData!$G$3:$G$4995,C9,SalesByItemData!$V$3:$V$4995,$M$3*1,SalesByItemData!$W$3:$W$4995,$N$3,SalesByItemData!$A$3:$A$4995,"&gt;0")+SUMIFS(SalesByItemData!$J$3:$J$4995,SalesByItemData!$G$3:$G$4995,C9,SalesByItemData!$V$3:$V$4995,$M$3*1,SalesByItemData!$W$3:$W$4995,$N$3,SalesByItemData!$A$3:$A$4995,"&gt;0",SalesByItemData!$X$3:$X$4995,"&gt;0")),"")</f>
        <v/>
      </c>
      <c r="I9" s="511" t="e">
        <f t="shared" si="2"/>
        <v>#REF!</v>
      </c>
      <c r="J9" s="863"/>
      <c r="L9" s="13"/>
      <c r="M9" s="13"/>
      <c r="R9" s="153"/>
    </row>
    <row r="10" spans="2:18" ht="24.95" customHeight="1">
      <c r="B10" s="511">
        <v>4</v>
      </c>
      <c r="C10" s="523" t="str">
        <f t="shared" si="1"/>
        <v/>
      </c>
      <c r="D10" s="524" t="s">
        <v>1930</v>
      </c>
      <c r="E10" s="1032" t="str">
        <f t="shared" si="0"/>
        <v>Case/12boxs</v>
      </c>
      <c r="F10" s="511" t="e">
        <f>IF(OR(C10="",SUMIFS(#REF!,#REF!,C10,#REF!,"&gt;="&amp;$P$3,#REF!,"&lt;="&amp;$Q$3,#REF!,"=1")=0,SUMIFS(#REF!,#REF!,C10,#REF!,"&gt;="&amp;$P$3,#REF!,"&lt;="&amp;$Q$3,#REF!,"=1")=""),0,SUMIFS(#REF!,#REF!,C10,#REF!,"&gt;="&amp;$P$3,#REF!,"&lt;="&amp;$Q$3,#REF!,"=1"))-IF(OR(C10="",SUMIFS(SalesByItemData!$I$3:$I$4995,SalesByItemData!$G$3:$G$4995,C10,SalesByItemData!$E$3:$E$4995,"&gt;="&amp;$P$3,SalesByItemData!$E$3:$E$4995,"&lt;="&amp;$Q$3,SalesByItemData!$X$3:$X$4995,"=1")+SUMIFS(SalesByItemData!$J$3:$J$4995,SalesByItemData!$G$3:$G$4995,C10,SalesByItemData!$E$3:$E$4995,"&gt;="&amp;$P$3,SalesByItemData!$E$3:$E$4995,"&lt;="&amp;$Q$3,SalesByItemData!$X$3:$X$4995,"&gt;0")=0),0,SUMIFS(SalesByItemData!$I$3:$I$4995,SalesByItemData!$G$3:$G$4995,C10,SalesByItemData!$E$3:$E$4995,"&gt;="&amp;$P$3,SalesByItemData!$E$3:$E$4995,"&lt;="&amp;$Q$3,SalesByItemData!$X$3:$X$4995,"=1")+SUMIFS(SalesByItemData!$J$3:$J$4995,SalesByItemData!$G$3:$G$4995,C10,SalesByItemData!$E$3:$E$4995,"&gt;="&amp;$P$3,SalesByItemData!$E$3:$E$4995,"&lt;="&amp;$Q$3,SalesByItemData!$X$3:$X$4995,"&gt;0"))</f>
        <v>#REF!</v>
      </c>
      <c r="G10" s="511" t="e">
        <f>IF(OR(C10="",SUMIFS(#REF!,#REF!,C10,#REF!,$M$3,#REF!,$N$3,#REF!,"=1")=0),"",SUMIFS(#REF!,#REF!,C10,#REF!,$M$3,#REF!,$N$3,#REF!,"=1"))</f>
        <v>#REF!</v>
      </c>
      <c r="H10" s="511" t="str">
        <f>IFERROR(IF(OR(C10="",SUMIFS(SalesByItemData!$I$3:$I$4995,SalesByItemData!$G$3:$G$4995,C10,SalesByItemData!$V$3:$V$4995,$M$3*1,SalesByItemData!$W$3:$W$4995,$N$3,SalesByItemData!$A$3:$A$4995,"&gt;0")+SUMIFS(SalesByItemData!$J$3:$J$4995,SalesByItemData!$G$3:$G$4995,C10,SalesByItemData!$V$3:$V$4995,$M$3*1,SalesByItemData!$W$3:$W$4995,$N$3,SalesByItemData!$A$3:$A$4995,"&gt;0")=0),"",SUMIFS(SalesByItemData!$I$3:$I$4995,SalesByItemData!$G$3:$G$4995,C10,SalesByItemData!$V$3:$V$4995,$M$3*1,SalesByItemData!$W$3:$W$4995,$N$3,SalesByItemData!$A$3:$A$4995,"&gt;0")+SUMIFS(SalesByItemData!$J$3:$J$4995,SalesByItemData!$G$3:$G$4995,C10,SalesByItemData!$V$3:$V$4995,$M$3*1,SalesByItemData!$W$3:$W$4995,$N$3,SalesByItemData!$A$3:$A$4995,"&gt;0",SalesByItemData!$X$3:$X$4995,"&gt;0")),"")</f>
        <v/>
      </c>
      <c r="I10" s="511" t="e">
        <f t="shared" si="2"/>
        <v>#REF!</v>
      </c>
      <c r="J10" s="863"/>
      <c r="L10" s="13"/>
      <c r="M10" s="13"/>
      <c r="R10" s="153"/>
    </row>
    <row r="11" spans="2:18" ht="24.95" customHeight="1">
      <c r="B11" s="511">
        <v>5</v>
      </c>
      <c r="C11" s="523" t="str">
        <f t="shared" si="1"/>
        <v/>
      </c>
      <c r="D11" s="524" t="s">
        <v>1930</v>
      </c>
      <c r="E11" s="1032" t="str">
        <f t="shared" si="0"/>
        <v>Case/12boxs</v>
      </c>
      <c r="F11" s="511" t="e">
        <f>IF(OR(C11="",SUMIFS(#REF!,#REF!,C11,#REF!,"&gt;="&amp;$P$3,#REF!,"&lt;="&amp;$Q$3,#REF!,"=1")=0,SUMIFS(#REF!,#REF!,C11,#REF!,"&gt;="&amp;$P$3,#REF!,"&lt;="&amp;$Q$3,#REF!,"=1")=""),0,SUMIFS(#REF!,#REF!,C11,#REF!,"&gt;="&amp;$P$3,#REF!,"&lt;="&amp;$Q$3,#REF!,"=1"))-IF(OR(C11="",SUMIFS(SalesByItemData!$I$3:$I$4995,SalesByItemData!$G$3:$G$4995,C11,SalesByItemData!$E$3:$E$4995,"&gt;="&amp;$P$3,SalesByItemData!$E$3:$E$4995,"&lt;="&amp;$Q$3,SalesByItemData!$X$3:$X$4995,"=1")+SUMIFS(SalesByItemData!$J$3:$J$4995,SalesByItemData!$G$3:$G$4995,C11,SalesByItemData!$E$3:$E$4995,"&gt;="&amp;$P$3,SalesByItemData!$E$3:$E$4995,"&lt;="&amp;$Q$3,SalesByItemData!$X$3:$X$4995,"&gt;0")=0),0,SUMIFS(SalesByItemData!$I$3:$I$4995,SalesByItemData!$G$3:$G$4995,C11,SalesByItemData!$E$3:$E$4995,"&gt;="&amp;$P$3,SalesByItemData!$E$3:$E$4995,"&lt;="&amp;$Q$3,SalesByItemData!$X$3:$X$4995,"=1")+SUMIFS(SalesByItemData!$J$3:$J$4995,SalesByItemData!$G$3:$G$4995,C11,SalesByItemData!$E$3:$E$4995,"&gt;="&amp;$P$3,SalesByItemData!$E$3:$E$4995,"&lt;="&amp;$Q$3,SalesByItemData!$X$3:$X$4995,"&gt;0"))</f>
        <v>#REF!</v>
      </c>
      <c r="G11" s="511" t="e">
        <f>IF(OR(C11="",SUMIFS(#REF!,#REF!,C11,#REF!,$M$3,#REF!,$N$3,#REF!,"=1")=0),"",SUMIFS(#REF!,#REF!,C11,#REF!,$M$3,#REF!,$N$3,#REF!,"=1"))</f>
        <v>#REF!</v>
      </c>
      <c r="H11" s="511" t="str">
        <f>IFERROR(IF(OR(C11="",SUMIFS(SalesByItemData!$I$3:$I$4995,SalesByItemData!$G$3:$G$4995,C11,SalesByItemData!$V$3:$V$4995,$M$3*1,SalesByItemData!$W$3:$W$4995,$N$3,SalesByItemData!$A$3:$A$4995,"&gt;0")+SUMIFS(SalesByItemData!$J$3:$J$4995,SalesByItemData!$G$3:$G$4995,C11,SalesByItemData!$V$3:$V$4995,$M$3*1,SalesByItemData!$W$3:$W$4995,$N$3,SalesByItemData!$A$3:$A$4995,"&gt;0")=0),"",SUMIFS(SalesByItemData!$I$3:$I$4995,SalesByItemData!$G$3:$G$4995,C11,SalesByItemData!$V$3:$V$4995,$M$3*1,SalesByItemData!$W$3:$W$4995,$N$3,SalesByItemData!$A$3:$A$4995,"&gt;0")+SUMIFS(SalesByItemData!$J$3:$J$4995,SalesByItemData!$G$3:$G$4995,C11,SalesByItemData!$V$3:$V$4995,$M$3*1,SalesByItemData!$W$3:$W$4995,$N$3,SalesByItemData!$A$3:$A$4995,"&gt;0",SalesByItemData!$X$3:$X$4995,"&gt;0")),"")</f>
        <v/>
      </c>
      <c r="I11" s="511" t="e">
        <f t="shared" si="2"/>
        <v>#REF!</v>
      </c>
      <c r="J11" s="863"/>
      <c r="R11" s="153"/>
    </row>
    <row r="12" spans="2:18" ht="24.95" customHeight="1">
      <c r="B12" s="511">
        <v>6</v>
      </c>
      <c r="C12" s="523" t="str">
        <f t="shared" si="1"/>
        <v/>
      </c>
      <c r="D12" s="524" t="s">
        <v>1930</v>
      </c>
      <c r="E12" s="1032" t="str">
        <f t="shared" si="0"/>
        <v>Case/12boxs</v>
      </c>
      <c r="F12" s="511" t="e">
        <f>IF(OR(C12="",SUMIFS(#REF!,#REF!,C12,#REF!,"&gt;="&amp;$P$3,#REF!,"&lt;="&amp;$Q$3,#REF!,"=1")=0,SUMIFS(#REF!,#REF!,C12,#REF!,"&gt;="&amp;$P$3,#REF!,"&lt;="&amp;$Q$3,#REF!,"=1")=""),0,SUMIFS(#REF!,#REF!,C12,#REF!,"&gt;="&amp;$P$3,#REF!,"&lt;="&amp;$Q$3,#REF!,"=1"))-IF(OR(C12="",SUMIFS(SalesByItemData!$I$3:$I$4995,SalesByItemData!$G$3:$G$4995,C12,SalesByItemData!$E$3:$E$4995,"&gt;="&amp;$P$3,SalesByItemData!$E$3:$E$4995,"&lt;="&amp;$Q$3,SalesByItemData!$X$3:$X$4995,"=1")+SUMIFS(SalesByItemData!$J$3:$J$4995,SalesByItemData!$G$3:$G$4995,C12,SalesByItemData!$E$3:$E$4995,"&gt;="&amp;$P$3,SalesByItemData!$E$3:$E$4995,"&lt;="&amp;$Q$3,SalesByItemData!$X$3:$X$4995,"&gt;0")=0),0,SUMIFS(SalesByItemData!$I$3:$I$4995,SalesByItemData!$G$3:$G$4995,C12,SalesByItemData!$E$3:$E$4995,"&gt;="&amp;$P$3,SalesByItemData!$E$3:$E$4995,"&lt;="&amp;$Q$3,SalesByItemData!$X$3:$X$4995,"=1")+SUMIFS(SalesByItemData!$J$3:$J$4995,SalesByItemData!$G$3:$G$4995,C12,SalesByItemData!$E$3:$E$4995,"&gt;="&amp;$P$3,SalesByItemData!$E$3:$E$4995,"&lt;="&amp;$Q$3,SalesByItemData!$X$3:$X$4995,"&gt;0"))</f>
        <v>#REF!</v>
      </c>
      <c r="G12" s="511" t="e">
        <f>IF(OR(C12="",SUMIFS(#REF!,#REF!,C12,#REF!,$M$3,#REF!,$N$3,#REF!,"=1")=0),"",SUMIFS(#REF!,#REF!,C12,#REF!,$M$3,#REF!,$N$3,#REF!,"=1"))</f>
        <v>#REF!</v>
      </c>
      <c r="H12" s="511" t="str">
        <f>IFERROR(IF(OR(C12="",SUMIFS(SalesByItemData!$I$3:$I$4995,SalesByItemData!$G$3:$G$4995,C12,SalesByItemData!$V$3:$V$4995,$M$3*1,SalesByItemData!$W$3:$W$4995,$N$3,SalesByItemData!$A$3:$A$4995,"&gt;0")+SUMIFS(SalesByItemData!$J$3:$J$4995,SalesByItemData!$G$3:$G$4995,C12,SalesByItemData!$V$3:$V$4995,$M$3*1,SalesByItemData!$W$3:$W$4995,$N$3,SalesByItemData!$A$3:$A$4995,"&gt;0")=0),"",SUMIFS(SalesByItemData!$I$3:$I$4995,SalesByItemData!$G$3:$G$4995,C12,SalesByItemData!$V$3:$V$4995,$M$3*1,SalesByItemData!$W$3:$W$4995,$N$3,SalesByItemData!$A$3:$A$4995,"&gt;0")+SUMIFS(SalesByItemData!$J$3:$J$4995,SalesByItemData!$G$3:$G$4995,C12,SalesByItemData!$V$3:$V$4995,$M$3*1,SalesByItemData!$W$3:$W$4995,$N$3,SalesByItemData!$A$3:$A$4995,"&gt;0",SalesByItemData!$X$3:$X$4995,"&gt;0")),"")</f>
        <v/>
      </c>
      <c r="I12" s="511" t="e">
        <f t="shared" si="2"/>
        <v>#REF!</v>
      </c>
      <c r="J12" s="863"/>
      <c r="R12" s="153"/>
    </row>
    <row r="13" spans="2:18" ht="24.95" customHeight="1">
      <c r="B13" s="511">
        <v>7</v>
      </c>
      <c r="C13" s="523" t="str">
        <f t="shared" si="1"/>
        <v/>
      </c>
      <c r="D13" s="524" t="s">
        <v>1930</v>
      </c>
      <c r="E13" s="1032" t="str">
        <f t="shared" si="0"/>
        <v>Case/12boxs</v>
      </c>
      <c r="F13" s="511" t="e">
        <f>IF(OR(C13="",SUMIFS(#REF!,#REF!,C13,#REF!,"&gt;="&amp;$P$3,#REF!,"&lt;="&amp;$Q$3,#REF!,"=1")=0,SUMIFS(#REF!,#REF!,C13,#REF!,"&gt;="&amp;$P$3,#REF!,"&lt;="&amp;$Q$3,#REF!,"=1")=""),0,SUMIFS(#REF!,#REF!,C13,#REF!,"&gt;="&amp;$P$3,#REF!,"&lt;="&amp;$Q$3,#REF!,"=1"))-IF(OR(C13="",SUMIFS(SalesByItemData!$I$3:$I$4995,SalesByItemData!$G$3:$G$4995,C13,SalesByItemData!$E$3:$E$4995,"&gt;="&amp;$P$3,SalesByItemData!$E$3:$E$4995,"&lt;="&amp;$Q$3,SalesByItemData!$X$3:$X$4995,"=1")+SUMIFS(SalesByItemData!$J$3:$J$4995,SalesByItemData!$G$3:$G$4995,C13,SalesByItemData!$E$3:$E$4995,"&gt;="&amp;$P$3,SalesByItemData!$E$3:$E$4995,"&lt;="&amp;$Q$3,SalesByItemData!$X$3:$X$4995,"&gt;0")=0),0,SUMIFS(SalesByItemData!$I$3:$I$4995,SalesByItemData!$G$3:$G$4995,C13,SalesByItemData!$E$3:$E$4995,"&gt;="&amp;$P$3,SalesByItemData!$E$3:$E$4995,"&lt;="&amp;$Q$3,SalesByItemData!$X$3:$X$4995,"=1")+SUMIFS(SalesByItemData!$J$3:$J$4995,SalesByItemData!$G$3:$G$4995,C13,SalesByItemData!$E$3:$E$4995,"&gt;="&amp;$P$3,SalesByItemData!$E$3:$E$4995,"&lt;="&amp;$Q$3,SalesByItemData!$X$3:$X$4995,"&gt;0"))</f>
        <v>#REF!</v>
      </c>
      <c r="G13" s="511" t="e">
        <f>IF(OR(C13="",SUMIFS(#REF!,#REF!,C13,#REF!,$M$3,#REF!,$N$3,#REF!,"=1")=0),"",SUMIFS(#REF!,#REF!,C13,#REF!,$M$3,#REF!,$N$3,#REF!,"=1"))</f>
        <v>#REF!</v>
      </c>
      <c r="H13" s="511" t="str">
        <f>IFERROR(IF(OR(C13="",SUMIFS(SalesByItemData!$I$3:$I$4995,SalesByItemData!$G$3:$G$4995,C13,SalesByItemData!$V$3:$V$4995,$M$3*1,SalesByItemData!$W$3:$W$4995,$N$3,SalesByItemData!$A$3:$A$4995,"&gt;0")+SUMIFS(SalesByItemData!$J$3:$J$4995,SalesByItemData!$G$3:$G$4995,C13,SalesByItemData!$V$3:$V$4995,$M$3*1,SalesByItemData!$W$3:$W$4995,$N$3,SalesByItemData!$A$3:$A$4995,"&gt;0")=0),"",SUMIFS(SalesByItemData!$I$3:$I$4995,SalesByItemData!$G$3:$G$4995,C13,SalesByItemData!$V$3:$V$4995,$M$3*1,SalesByItemData!$W$3:$W$4995,$N$3,SalesByItemData!$A$3:$A$4995,"&gt;0")+SUMIFS(SalesByItemData!$J$3:$J$4995,SalesByItemData!$G$3:$G$4995,C13,SalesByItemData!$V$3:$V$4995,$M$3*1,SalesByItemData!$W$3:$W$4995,$N$3,SalesByItemData!$A$3:$A$4995,"&gt;0",SalesByItemData!$X$3:$X$4995,"&gt;0")),"")</f>
        <v/>
      </c>
      <c r="I13" s="511" t="e">
        <f t="shared" si="2"/>
        <v>#REF!</v>
      </c>
      <c r="J13" s="863"/>
      <c r="R13" s="153"/>
    </row>
    <row r="14" spans="2:18" ht="24.95" customHeight="1">
      <c r="B14" s="511">
        <v>8</v>
      </c>
      <c r="C14" s="523" t="str">
        <f t="shared" si="1"/>
        <v/>
      </c>
      <c r="D14" s="524" t="s">
        <v>1930</v>
      </c>
      <c r="E14" s="1032" t="str">
        <f t="shared" si="0"/>
        <v>Case/12boxs</v>
      </c>
      <c r="F14" s="511" t="e">
        <f>IF(OR(C14="",SUMIFS(#REF!,#REF!,C14,#REF!,"&gt;="&amp;$P$3,#REF!,"&lt;="&amp;$Q$3,#REF!,"=1")=0,SUMIFS(#REF!,#REF!,C14,#REF!,"&gt;="&amp;$P$3,#REF!,"&lt;="&amp;$Q$3,#REF!,"=1")=""),0,SUMIFS(#REF!,#REF!,C14,#REF!,"&gt;="&amp;$P$3,#REF!,"&lt;="&amp;$Q$3,#REF!,"=1"))-IF(OR(C14="",SUMIFS(SalesByItemData!$I$3:$I$4995,SalesByItemData!$G$3:$G$4995,C14,SalesByItemData!$E$3:$E$4995,"&gt;="&amp;$P$3,SalesByItemData!$E$3:$E$4995,"&lt;="&amp;$Q$3,SalesByItemData!$X$3:$X$4995,"=1")+SUMIFS(SalesByItemData!$J$3:$J$4995,SalesByItemData!$G$3:$G$4995,C14,SalesByItemData!$E$3:$E$4995,"&gt;="&amp;$P$3,SalesByItemData!$E$3:$E$4995,"&lt;="&amp;$Q$3,SalesByItemData!$X$3:$X$4995,"&gt;0")=0),0,SUMIFS(SalesByItemData!$I$3:$I$4995,SalesByItemData!$G$3:$G$4995,C14,SalesByItemData!$E$3:$E$4995,"&gt;="&amp;$P$3,SalesByItemData!$E$3:$E$4995,"&lt;="&amp;$Q$3,SalesByItemData!$X$3:$X$4995,"=1")+SUMIFS(SalesByItemData!$J$3:$J$4995,SalesByItemData!$G$3:$G$4995,C14,SalesByItemData!$E$3:$E$4995,"&gt;="&amp;$P$3,SalesByItemData!$E$3:$E$4995,"&lt;="&amp;$Q$3,SalesByItemData!$X$3:$X$4995,"&gt;0"))</f>
        <v>#REF!</v>
      </c>
      <c r="G14" s="511" t="e">
        <f>IF(OR(C14="",SUMIFS(#REF!,#REF!,C14,#REF!,$M$3,#REF!,$N$3,#REF!,"=1")=0),"",SUMIFS(#REF!,#REF!,C14,#REF!,$M$3,#REF!,$N$3,#REF!,"=1"))</f>
        <v>#REF!</v>
      </c>
      <c r="H14" s="511" t="str">
        <f>IFERROR(IF(OR(C14="",SUMIFS(SalesByItemData!$I$3:$I$4995,SalesByItemData!$G$3:$G$4995,C14,SalesByItemData!$V$3:$V$4995,$M$3*1,SalesByItemData!$W$3:$W$4995,$N$3,SalesByItemData!$A$3:$A$4995,"&gt;0")+SUMIFS(SalesByItemData!$J$3:$J$4995,SalesByItemData!$G$3:$G$4995,C14,SalesByItemData!$V$3:$V$4995,$M$3*1,SalesByItemData!$W$3:$W$4995,$N$3,SalesByItemData!$A$3:$A$4995,"&gt;0")=0),"",SUMIFS(SalesByItemData!$I$3:$I$4995,SalesByItemData!$G$3:$G$4995,C14,SalesByItemData!$V$3:$V$4995,$M$3*1,SalesByItemData!$W$3:$W$4995,$N$3,SalesByItemData!$A$3:$A$4995,"&gt;0")+SUMIFS(SalesByItemData!$J$3:$J$4995,SalesByItemData!$G$3:$G$4995,C14,SalesByItemData!$V$3:$V$4995,$M$3*1,SalesByItemData!$W$3:$W$4995,$N$3,SalesByItemData!$A$3:$A$4995,"&gt;0",SalesByItemData!$X$3:$X$4995,"&gt;0")),"")</f>
        <v/>
      </c>
      <c r="I14" s="511" t="e">
        <f t="shared" si="2"/>
        <v>#REF!</v>
      </c>
      <c r="J14" s="863"/>
      <c r="R14" s="153"/>
    </row>
    <row r="15" spans="2:18" ht="24.95" customHeight="1">
      <c r="B15" s="511">
        <v>9</v>
      </c>
      <c r="C15" s="523" t="str">
        <f t="shared" si="1"/>
        <v/>
      </c>
      <c r="D15" s="524" t="s">
        <v>1930</v>
      </c>
      <c r="E15" s="1032" t="str">
        <f t="shared" si="0"/>
        <v>Case/12boxs</v>
      </c>
      <c r="F15" s="511" t="e">
        <f>IF(OR(C15="",SUMIFS(#REF!,#REF!,C15,#REF!,"&gt;="&amp;$P$3,#REF!,"&lt;="&amp;$Q$3,#REF!,"=1")=0,SUMIFS(#REF!,#REF!,C15,#REF!,"&gt;="&amp;$P$3,#REF!,"&lt;="&amp;$Q$3,#REF!,"=1")=""),0,SUMIFS(#REF!,#REF!,C15,#REF!,"&gt;="&amp;$P$3,#REF!,"&lt;="&amp;$Q$3,#REF!,"=1"))-IF(OR(C15="",SUMIFS(SalesByItemData!$I$3:$I$4995,SalesByItemData!$G$3:$G$4995,C15,SalesByItemData!$E$3:$E$4995,"&gt;="&amp;$P$3,SalesByItemData!$E$3:$E$4995,"&lt;="&amp;$Q$3,SalesByItemData!$X$3:$X$4995,"=1")+SUMIFS(SalesByItemData!$J$3:$J$4995,SalesByItemData!$G$3:$G$4995,C15,SalesByItemData!$E$3:$E$4995,"&gt;="&amp;$P$3,SalesByItemData!$E$3:$E$4995,"&lt;="&amp;$Q$3,SalesByItemData!$X$3:$X$4995,"&gt;0")=0),0,SUMIFS(SalesByItemData!$I$3:$I$4995,SalesByItemData!$G$3:$G$4995,C15,SalesByItemData!$E$3:$E$4995,"&gt;="&amp;$P$3,SalesByItemData!$E$3:$E$4995,"&lt;="&amp;$Q$3,SalesByItemData!$X$3:$X$4995,"=1")+SUMIFS(SalesByItemData!$J$3:$J$4995,SalesByItemData!$G$3:$G$4995,C15,SalesByItemData!$E$3:$E$4995,"&gt;="&amp;$P$3,SalesByItemData!$E$3:$E$4995,"&lt;="&amp;$Q$3,SalesByItemData!$X$3:$X$4995,"&gt;0"))</f>
        <v>#REF!</v>
      </c>
      <c r="G15" s="511" t="e">
        <f>IF(OR(C15="",SUMIFS(#REF!,#REF!,C15,#REF!,$M$3,#REF!,$N$3,#REF!,"=1")=0),"",SUMIFS(#REF!,#REF!,C15,#REF!,$M$3,#REF!,$N$3,#REF!,"=1"))</f>
        <v>#REF!</v>
      </c>
      <c r="H15" s="511" t="str">
        <f>IFERROR(IF(OR(C15="",SUMIFS(SalesByItemData!$I$3:$I$4995,SalesByItemData!$G$3:$G$4995,C15,SalesByItemData!$V$3:$V$4995,$M$3*1,SalesByItemData!$W$3:$W$4995,$N$3,SalesByItemData!$A$3:$A$4995,"&gt;0")+SUMIFS(SalesByItemData!$J$3:$J$4995,SalesByItemData!$G$3:$G$4995,C15,SalesByItemData!$V$3:$V$4995,$M$3*1,SalesByItemData!$W$3:$W$4995,$N$3,SalesByItemData!$A$3:$A$4995,"&gt;0")=0),"",SUMIFS(SalesByItemData!$I$3:$I$4995,SalesByItemData!$G$3:$G$4995,C15,SalesByItemData!$V$3:$V$4995,$M$3*1,SalesByItemData!$W$3:$W$4995,$N$3,SalesByItemData!$A$3:$A$4995,"&gt;0")+SUMIFS(SalesByItemData!$J$3:$J$4995,SalesByItemData!$G$3:$G$4995,C15,SalesByItemData!$V$3:$V$4995,$M$3*1,SalesByItemData!$W$3:$W$4995,$N$3,SalesByItemData!$A$3:$A$4995,"&gt;0",SalesByItemData!$X$3:$X$4995,"&gt;0")),"")</f>
        <v/>
      </c>
      <c r="I15" s="511" t="e">
        <f t="shared" si="2"/>
        <v>#REF!</v>
      </c>
      <c r="J15" s="863"/>
    </row>
    <row r="16" spans="2:18" ht="24.95" customHeight="1">
      <c r="B16" s="526">
        <v>10</v>
      </c>
      <c r="C16" s="523" t="str">
        <f t="shared" si="1"/>
        <v/>
      </c>
      <c r="D16" s="524" t="s">
        <v>1930</v>
      </c>
      <c r="E16" s="1032" t="str">
        <f t="shared" si="0"/>
        <v>Case/12boxs</v>
      </c>
      <c r="F16" s="511" t="e">
        <f>IF(OR(C16="",SUMIFS(#REF!,#REF!,C16,#REF!,"&gt;="&amp;$P$3,#REF!,"&lt;="&amp;$Q$3,#REF!,"=1")=0,SUMIFS(#REF!,#REF!,C16,#REF!,"&gt;="&amp;$P$3,#REF!,"&lt;="&amp;$Q$3,#REF!,"=1")=""),0,SUMIFS(#REF!,#REF!,C16,#REF!,"&gt;="&amp;$P$3,#REF!,"&lt;="&amp;$Q$3,#REF!,"=1"))-IF(OR(C16="",SUMIFS(SalesByItemData!$I$3:$I$4995,SalesByItemData!$G$3:$G$4995,C16,SalesByItemData!$E$3:$E$4995,"&gt;="&amp;$P$3,SalesByItemData!$E$3:$E$4995,"&lt;="&amp;$Q$3,SalesByItemData!$X$3:$X$4995,"=1")+SUMIFS(SalesByItemData!$J$3:$J$4995,SalesByItemData!$G$3:$G$4995,C16,SalesByItemData!$E$3:$E$4995,"&gt;="&amp;$P$3,SalesByItemData!$E$3:$E$4995,"&lt;="&amp;$Q$3,SalesByItemData!$X$3:$X$4995,"&gt;0")=0),0,SUMIFS(SalesByItemData!$I$3:$I$4995,SalesByItemData!$G$3:$G$4995,C16,SalesByItemData!$E$3:$E$4995,"&gt;="&amp;$P$3,SalesByItemData!$E$3:$E$4995,"&lt;="&amp;$Q$3,SalesByItemData!$X$3:$X$4995,"=1")+SUMIFS(SalesByItemData!$J$3:$J$4995,SalesByItemData!$G$3:$G$4995,C16,SalesByItemData!$E$3:$E$4995,"&gt;="&amp;$P$3,SalesByItemData!$E$3:$E$4995,"&lt;="&amp;$Q$3,SalesByItemData!$X$3:$X$4995,"&gt;0"))</f>
        <v>#REF!</v>
      </c>
      <c r="G16" s="511" t="e">
        <f>IF(OR(C16="",SUMIFS(#REF!,#REF!,C16,#REF!,$M$3,#REF!,$N$3,#REF!,"=1")=0),"",SUMIFS(#REF!,#REF!,C16,#REF!,$M$3,#REF!,$N$3,#REF!,"=1"))</f>
        <v>#REF!</v>
      </c>
      <c r="H16" s="511" t="str">
        <f>IFERROR(IF(OR(C16="",SUMIFS(SalesByItemData!$I$3:$I$4995,SalesByItemData!$G$3:$G$4995,C16,SalesByItemData!$V$3:$V$4995,$M$3*1,SalesByItemData!$W$3:$W$4995,$N$3,SalesByItemData!$A$3:$A$4995,"&gt;0")+SUMIFS(SalesByItemData!$J$3:$J$4995,SalesByItemData!$G$3:$G$4995,C16,SalesByItemData!$V$3:$V$4995,$M$3*1,SalesByItemData!$W$3:$W$4995,$N$3,SalesByItemData!$A$3:$A$4995,"&gt;0")=0),"",SUMIFS(SalesByItemData!$I$3:$I$4995,SalesByItemData!$G$3:$G$4995,C16,SalesByItemData!$V$3:$V$4995,$M$3*1,SalesByItemData!$W$3:$W$4995,$N$3,SalesByItemData!$A$3:$A$4995,"&gt;0")+SUMIFS(SalesByItemData!$J$3:$J$4995,SalesByItemData!$G$3:$G$4995,C16,SalesByItemData!$V$3:$V$4995,$M$3*1,SalesByItemData!$W$3:$W$4995,$N$3,SalesByItemData!$A$3:$A$4995,"&gt;0",SalesByItemData!$X$3:$X$4995,"&gt;0")),"")</f>
        <v/>
      </c>
      <c r="I16" s="511" t="e">
        <f t="shared" si="2"/>
        <v>#REF!</v>
      </c>
      <c r="J16" s="863"/>
    </row>
    <row r="17" spans="2:22" ht="24.95" customHeight="1">
      <c r="B17" s="526">
        <v>11</v>
      </c>
      <c r="C17" s="523" t="str">
        <f t="shared" si="1"/>
        <v/>
      </c>
      <c r="D17" s="524" t="s">
        <v>1930</v>
      </c>
      <c r="E17" s="1032" t="str">
        <f t="shared" si="0"/>
        <v>Case/12boxs</v>
      </c>
      <c r="F17" s="511" t="e">
        <f>IF(OR(C17="",SUMIFS(#REF!,#REF!,C17,#REF!,"&gt;="&amp;$P$3,#REF!,"&lt;="&amp;$Q$3,#REF!,"=1")=0,SUMIFS(#REF!,#REF!,C17,#REF!,"&gt;="&amp;$P$3,#REF!,"&lt;="&amp;$Q$3,#REF!,"=1")=""),0,SUMIFS(#REF!,#REF!,C17,#REF!,"&gt;="&amp;$P$3,#REF!,"&lt;="&amp;$Q$3,#REF!,"=1"))-IF(OR(C17="",SUMIFS(SalesByItemData!$I$3:$I$4995,SalesByItemData!$G$3:$G$4995,C17,SalesByItemData!$E$3:$E$4995,"&gt;="&amp;$P$3,SalesByItemData!$E$3:$E$4995,"&lt;="&amp;$Q$3,SalesByItemData!$X$3:$X$4995,"=1")+SUMIFS(SalesByItemData!$J$3:$J$4995,SalesByItemData!$G$3:$G$4995,C17,SalesByItemData!$E$3:$E$4995,"&gt;="&amp;$P$3,SalesByItemData!$E$3:$E$4995,"&lt;="&amp;$Q$3,SalesByItemData!$X$3:$X$4995,"&gt;0")=0),0,SUMIFS(SalesByItemData!$I$3:$I$4995,SalesByItemData!$G$3:$G$4995,C17,SalesByItemData!$E$3:$E$4995,"&gt;="&amp;$P$3,SalesByItemData!$E$3:$E$4995,"&lt;="&amp;$Q$3,SalesByItemData!$X$3:$X$4995,"=1")+SUMIFS(SalesByItemData!$J$3:$J$4995,SalesByItemData!$G$3:$G$4995,C17,SalesByItemData!$E$3:$E$4995,"&gt;="&amp;$P$3,SalesByItemData!$E$3:$E$4995,"&lt;="&amp;$Q$3,SalesByItemData!$X$3:$X$4995,"&gt;0"))</f>
        <v>#REF!</v>
      </c>
      <c r="G17" s="511" t="e">
        <f>IF(OR(C17="",SUMIFS(#REF!,#REF!,C17,#REF!,$M$3,#REF!,$N$3,#REF!,"=1")=0),"",SUMIFS(#REF!,#REF!,C17,#REF!,$M$3,#REF!,$N$3,#REF!,"=1"))</f>
        <v>#REF!</v>
      </c>
      <c r="H17" s="511" t="str">
        <f>IFERROR(IF(OR(C17="",SUMIFS(SalesByItemData!$I$3:$I$4995,SalesByItemData!$G$3:$G$4995,C17,SalesByItemData!$V$3:$V$4995,$M$3*1,SalesByItemData!$W$3:$W$4995,$N$3,SalesByItemData!$A$3:$A$4995,"&gt;0")+SUMIFS(SalesByItemData!$J$3:$J$4995,SalesByItemData!$G$3:$G$4995,C17,SalesByItemData!$V$3:$V$4995,$M$3*1,SalesByItemData!$W$3:$W$4995,$N$3,SalesByItemData!$A$3:$A$4995,"&gt;0")=0),"",SUMIFS(SalesByItemData!$I$3:$I$4995,SalesByItemData!$G$3:$G$4995,C17,SalesByItemData!$V$3:$V$4995,$M$3*1,SalesByItemData!$W$3:$W$4995,$N$3,SalesByItemData!$A$3:$A$4995,"&gt;0")+SUMIFS(SalesByItemData!$J$3:$J$4995,SalesByItemData!$G$3:$G$4995,C17,SalesByItemData!$V$3:$V$4995,$M$3*1,SalesByItemData!$W$3:$W$4995,$N$3,SalesByItemData!$A$3:$A$4995,"&gt;0",SalesByItemData!$X$3:$X$4995,"&gt;0")),"")</f>
        <v/>
      </c>
      <c r="I17" s="511" t="e">
        <f t="shared" si="2"/>
        <v>#REF!</v>
      </c>
      <c r="J17" s="863"/>
    </row>
    <row r="18" spans="2:22" ht="24.95" hidden="1" customHeight="1">
      <c r="B18" s="520">
        <v>12</v>
      </c>
      <c r="C18" s="521" t="str">
        <f t="shared" si="1"/>
        <v/>
      </c>
      <c r="D18" s="522" t="s">
        <v>1798</v>
      </c>
      <c r="E18" s="525" t="e">
        <f t="shared" ref="E18:E30" si="3">IF(D18="","",MID(VLOOKUP(MID(D18,1,5),product_list,11,FALSE),5,50))</f>
        <v>#N/A</v>
      </c>
      <c r="F18" s="509" t="e">
        <f>IF(OR(C18="",SUMIFS(#REF!,#REF!,C18,#REF!,"&gt;="&amp;$P$3,#REF!,"&lt;="&amp;$Q$3,#REF!,"=1")=0,SUMIFS(#REF!,#REF!,C18,#REF!,"&gt;="&amp;$P$3,#REF!,"&lt;="&amp;$Q$3,#REF!,"=1")=""),0,SUMIFS(#REF!,#REF!,C18,#REF!,"&gt;="&amp;$P$3,#REF!,"&lt;="&amp;$Q$3,#REF!,"=1"))-IF(OR(C18="",SUMIFS(SalesByItemData!$I$3:$I$4995,SalesByItemData!$G$3:$G$4995,C18,SalesByItemData!$E$3:$E$4995,"&gt;="&amp;$P$3,SalesByItemData!$E$3:$E$4995,"&lt;="&amp;$Q$3,SalesByItemData!$X$3:$X$4995,"=1")+SUMIFS(SalesByItemData!$J$3:$J$4995,SalesByItemData!$G$3:$G$4995,C18,SalesByItemData!$E$3:$E$4995,"&gt;="&amp;$P$3,SalesByItemData!$E$3:$E$4995,"&lt;="&amp;$Q$3,SalesByItemData!$X$3:$X$4995,"&gt;0")=0),0,SUMIFS(SalesByItemData!$I$3:$I$4995,SalesByItemData!$G$3:$G$4995,C18,SalesByItemData!$E$3:$E$4995,"&gt;="&amp;$P$3,SalesByItemData!$E$3:$E$4995,"&lt;="&amp;$Q$3,SalesByItemData!$X$3:$X$4995,"=1")+SUMIFS(SalesByItemData!$J$3:$J$4995,SalesByItemData!$G$3:$G$4995,C18,SalesByItemData!$E$3:$E$4995,"&gt;="&amp;$P$3,SalesByItemData!$E$3:$E$4995,"&lt;="&amp;$Q$3,SalesByItemData!$X$3:$X$4995,"&gt;0"))</f>
        <v>#REF!</v>
      </c>
      <c r="G18" s="521" t="e">
        <f>IF(OR(C18="",SUMIFS(#REF!,#REF!,C18,#REF!,$M$3,#REF!,$N$3,#REF!,"=1")=0),"",SUMIFS(#REF!,#REF!,C18,#REF!,$M$3,#REF!,$N$3,#REF!,"=1"))</f>
        <v>#REF!</v>
      </c>
      <c r="H18" s="509" t="str">
        <f>IFERROR(IF(OR(C18="",SUMIFS(SalesByItemData!$I$3:$I$4995,SalesByItemData!$G$3:$G$4995,C18,SalesByItemData!$V$3:$V$4995,$M$3*1,SalesByItemData!$W$3:$W$4995,$N$3,SalesByItemData!$A$3:$A$4995,"&gt;0")+SUMIFS(SalesByItemData!$J$3:$J$4995,SalesByItemData!$G$3:$G$4995,C18,SalesByItemData!$V$3:$V$4995,$M$3*1,SalesByItemData!$W$3:$W$4995,$N$3,SalesByItemData!$A$3:$A$4995,"&gt;0")=0),"",SUMIFS(SalesByItemData!$I$3:$I$4995,SalesByItemData!$G$3:$G$4995,C18,SalesByItemData!$V$3:$V$4995,$M$3*1,SalesByItemData!$W$3:$W$4995,$N$3,SalesByItemData!$A$3:$A$4995,"&gt;0")+SUMIFS(SalesByItemData!$J$3:$J$4995,SalesByItemData!$G$3:$G$4995,C18,SalesByItemData!$V$3:$V$4995,$M$3*1,SalesByItemData!$W$3:$W$4995,$N$3,SalesByItemData!$A$3:$A$4995,"&gt;0")),"")</f>
        <v/>
      </c>
      <c r="I18" s="521" t="e">
        <f t="shared" ref="I18:I26" si="4">IF((IF(F18="",0,F18)+IF(G18="",0,G18)-IF(H18="",0,H18))=0,"",IF(F18="",0,F18)+IF(G18="",0,G18)-IF(H18="",0,H18))</f>
        <v>#REF!</v>
      </c>
      <c r="J18" s="863"/>
      <c r="K18" s="139"/>
    </row>
    <row r="19" spans="2:22" ht="24.95" hidden="1" customHeight="1">
      <c r="B19" s="494">
        <v>13</v>
      </c>
      <c r="C19" s="492" t="str">
        <f t="shared" si="1"/>
        <v/>
      </c>
      <c r="D19" s="493" t="s">
        <v>1799</v>
      </c>
      <c r="E19" s="525" t="e">
        <f t="shared" si="3"/>
        <v>#N/A</v>
      </c>
      <c r="F19" s="281" t="e">
        <f>IF(OR(C19="",SUMIFS(#REF!,#REF!,C19,#REF!,"&gt;="&amp;$P$3,#REF!,"&lt;="&amp;$Q$3,#REF!,"=1")=0,SUMIFS(#REF!,#REF!,C19,#REF!,"&gt;="&amp;$P$3,#REF!,"&lt;="&amp;$Q$3,#REF!,"=1")=""),0,SUMIFS(#REF!,#REF!,C19,#REF!,"&gt;="&amp;$P$3,#REF!,"&lt;="&amp;$Q$3,#REF!,"=1"))-IF(OR(C19="",SUMIFS(SalesByItemData!$I$3:$I$4995,SalesByItemData!$G$3:$G$4995,C19,SalesByItemData!$E$3:$E$4995,"&gt;="&amp;$P$3,SalesByItemData!$E$3:$E$4995,"&lt;="&amp;$Q$3,SalesByItemData!$X$3:$X$4995,"=1")+SUMIFS(SalesByItemData!$J$3:$J$4995,SalesByItemData!$G$3:$G$4995,C19,SalesByItemData!$E$3:$E$4995,"&gt;="&amp;$P$3,SalesByItemData!$E$3:$E$4995,"&lt;="&amp;$Q$3,SalesByItemData!$X$3:$X$4995,"&gt;0")=0),0,SUMIFS(SalesByItemData!$I$3:$I$4995,SalesByItemData!$G$3:$G$4995,C19,SalesByItemData!$E$3:$E$4995,"&gt;="&amp;$P$3,SalesByItemData!$E$3:$E$4995,"&lt;="&amp;$Q$3,SalesByItemData!$X$3:$X$4995,"=1")+SUMIFS(SalesByItemData!$J$3:$J$4995,SalesByItemData!$G$3:$G$4995,C19,SalesByItemData!$E$3:$E$4995,"&gt;="&amp;$P$3,SalesByItemData!$E$3:$E$4995,"&lt;="&amp;$Q$3,SalesByItemData!$X$3:$X$4995,"&gt;0"))</f>
        <v>#REF!</v>
      </c>
      <c r="G19" s="492" t="e">
        <f>IF(OR(C19="",SUMIFS(#REF!,#REF!,C19,#REF!,$M$3,#REF!,$N$3,#REF!,"=1")=0),"",SUMIFS(#REF!,#REF!,C19,#REF!,$M$3,#REF!,$N$3,#REF!,"=1"))</f>
        <v>#REF!</v>
      </c>
      <c r="H19" s="281" t="str">
        <f>IFERROR(IF(OR(C19="",SUMIFS(SalesByItemData!$I$3:$I$4995,SalesByItemData!$G$3:$G$4995,C19,SalesByItemData!$V$3:$V$4995,$M$3*1,SalesByItemData!$W$3:$W$4995,$N$3,SalesByItemData!$A$3:$A$4995,"&gt;0")+SUMIFS(SalesByItemData!$J$3:$J$4995,SalesByItemData!$G$3:$G$4995,C19,SalesByItemData!$V$3:$V$4995,$M$3*1,SalesByItemData!$W$3:$W$4995,$N$3,SalesByItemData!$A$3:$A$4995,"&gt;0")=0),"",SUMIFS(SalesByItemData!$I$3:$I$4995,SalesByItemData!$G$3:$G$4995,C19,SalesByItemData!$V$3:$V$4995,$M$3*1,SalesByItemData!$W$3:$W$4995,$N$3,SalesByItemData!$A$3:$A$4995,"&gt;0")+SUMIFS(SalesByItemData!$J$3:$J$4995,SalesByItemData!$G$3:$G$4995,C19,SalesByItemData!$V$3:$V$4995,$M$3*1,SalesByItemData!$W$3:$W$4995,$N$3,SalesByItemData!$A$3:$A$4995,"&gt;0")),"")</f>
        <v/>
      </c>
      <c r="I19" s="492" t="e">
        <f t="shared" si="4"/>
        <v>#REF!</v>
      </c>
      <c r="J19" s="863"/>
      <c r="K19" s="139"/>
    </row>
    <row r="20" spans="2:22" ht="24.95" hidden="1" customHeight="1">
      <c r="B20" s="494">
        <v>14</v>
      </c>
      <c r="C20" s="492" t="str">
        <f t="shared" si="1"/>
        <v/>
      </c>
      <c r="D20" s="493" t="s">
        <v>1800</v>
      </c>
      <c r="E20" s="525" t="e">
        <f t="shared" si="3"/>
        <v>#N/A</v>
      </c>
      <c r="F20" s="281" t="e">
        <f>IF(OR(C20="",SUMIFS(#REF!,#REF!,C20,#REF!,"&gt;="&amp;$P$3,#REF!,"&lt;="&amp;$Q$3,#REF!,"=1")=0,SUMIFS(#REF!,#REF!,C20,#REF!,"&gt;="&amp;$P$3,#REF!,"&lt;="&amp;$Q$3,#REF!,"=1")=""),0,SUMIFS(#REF!,#REF!,C20,#REF!,"&gt;="&amp;$P$3,#REF!,"&lt;="&amp;$Q$3,#REF!,"=1"))-IF(OR(C20="",SUMIFS(SalesByItemData!$I$3:$I$4995,SalesByItemData!$G$3:$G$4995,C20,SalesByItemData!$E$3:$E$4995,"&gt;="&amp;$P$3,SalesByItemData!$E$3:$E$4995,"&lt;="&amp;$Q$3,SalesByItemData!$X$3:$X$4995,"=1")+SUMIFS(SalesByItemData!$J$3:$J$4995,SalesByItemData!$G$3:$G$4995,C20,SalesByItemData!$E$3:$E$4995,"&gt;="&amp;$P$3,SalesByItemData!$E$3:$E$4995,"&lt;="&amp;$Q$3,SalesByItemData!$X$3:$X$4995,"&gt;0")=0),0,SUMIFS(SalesByItemData!$I$3:$I$4995,SalesByItemData!$G$3:$G$4995,C20,SalesByItemData!$E$3:$E$4995,"&gt;="&amp;$P$3,SalesByItemData!$E$3:$E$4995,"&lt;="&amp;$Q$3,SalesByItemData!$X$3:$X$4995,"=1")+SUMIFS(SalesByItemData!$J$3:$J$4995,SalesByItemData!$G$3:$G$4995,C20,SalesByItemData!$E$3:$E$4995,"&gt;="&amp;$P$3,SalesByItemData!$E$3:$E$4995,"&lt;="&amp;$Q$3,SalesByItemData!$X$3:$X$4995,"&gt;0"))</f>
        <v>#REF!</v>
      </c>
      <c r="G20" s="492" t="e">
        <f>IF(OR(C20="",SUMIFS(#REF!,#REF!,C20,#REF!,$M$3,#REF!,$N$3,#REF!,"=1")=0),"",SUMIFS(#REF!,#REF!,C20,#REF!,$M$3,#REF!,$N$3,#REF!,"=1"))</f>
        <v>#REF!</v>
      </c>
      <c r="H20" s="281" t="str">
        <f>IFERROR(IF(OR(C20="",SUMIFS(SalesByItemData!$I$3:$I$4995,SalesByItemData!$G$3:$G$4995,C20,SalesByItemData!$V$3:$V$4995,$M$3*1,SalesByItemData!$W$3:$W$4995,$N$3,SalesByItemData!$A$3:$A$4995,"&gt;0")+SUMIFS(SalesByItemData!$J$3:$J$4995,SalesByItemData!$G$3:$G$4995,C20,SalesByItemData!$V$3:$V$4995,$M$3*1,SalesByItemData!$W$3:$W$4995,$N$3,SalesByItemData!$A$3:$A$4995,"&gt;0")=0),"",SUMIFS(SalesByItemData!$I$3:$I$4995,SalesByItemData!$G$3:$G$4995,C20,SalesByItemData!$V$3:$V$4995,$M$3*1,SalesByItemData!$W$3:$W$4995,$N$3,SalesByItemData!$A$3:$A$4995,"&gt;0")+SUMIFS(SalesByItemData!$J$3:$J$4995,SalesByItemData!$G$3:$G$4995,C20,SalesByItemData!$V$3:$V$4995,$M$3*1,SalesByItemData!$W$3:$W$4995,$N$3,SalesByItemData!$A$3:$A$4995,"&gt;0")),"")</f>
        <v/>
      </c>
      <c r="I20" s="492" t="e">
        <f t="shared" si="4"/>
        <v>#REF!</v>
      </c>
      <c r="J20" s="863"/>
      <c r="K20" s="139"/>
    </row>
    <row r="21" spans="2:22" ht="24.95" hidden="1" customHeight="1">
      <c r="B21" s="494">
        <v>15</v>
      </c>
      <c r="C21" s="492" t="str">
        <f t="shared" si="1"/>
        <v/>
      </c>
      <c r="D21" s="493" t="s">
        <v>1801</v>
      </c>
      <c r="E21" s="525" t="e">
        <f t="shared" si="3"/>
        <v>#N/A</v>
      </c>
      <c r="F21" s="281" t="e">
        <f>IF(OR(C21="",SUMIFS(#REF!,#REF!,C21,#REF!,"&gt;="&amp;$P$3,#REF!,"&lt;="&amp;$Q$3,#REF!,"=1")=0,SUMIFS(#REF!,#REF!,C21,#REF!,"&gt;="&amp;$P$3,#REF!,"&lt;="&amp;$Q$3,#REF!,"=1")=""),0,SUMIFS(#REF!,#REF!,C21,#REF!,"&gt;="&amp;$P$3,#REF!,"&lt;="&amp;$Q$3,#REF!,"=1"))-IF(OR(C21="",SUMIFS(SalesByItemData!$I$3:$I$4995,SalesByItemData!$G$3:$G$4995,C21,SalesByItemData!$E$3:$E$4995,"&gt;="&amp;$P$3,SalesByItemData!$E$3:$E$4995,"&lt;="&amp;$Q$3,SalesByItemData!$X$3:$X$4995,"=1")+SUMIFS(SalesByItemData!$J$3:$J$4995,SalesByItemData!$G$3:$G$4995,C21,SalesByItemData!$E$3:$E$4995,"&gt;="&amp;$P$3,SalesByItemData!$E$3:$E$4995,"&lt;="&amp;$Q$3,SalesByItemData!$X$3:$X$4995,"&gt;0")=0),0,SUMIFS(SalesByItemData!$I$3:$I$4995,SalesByItemData!$G$3:$G$4995,C21,SalesByItemData!$E$3:$E$4995,"&gt;="&amp;$P$3,SalesByItemData!$E$3:$E$4995,"&lt;="&amp;$Q$3,SalesByItemData!$X$3:$X$4995,"=1")+SUMIFS(SalesByItemData!$J$3:$J$4995,SalesByItemData!$G$3:$G$4995,C21,SalesByItemData!$E$3:$E$4995,"&gt;="&amp;$P$3,SalesByItemData!$E$3:$E$4995,"&lt;="&amp;$Q$3,SalesByItemData!$X$3:$X$4995,"&gt;0"))</f>
        <v>#REF!</v>
      </c>
      <c r="G21" s="492" t="e">
        <f>IF(OR(C21="",SUMIFS(#REF!,#REF!,C21,#REF!,$M$3,#REF!,$N$3,#REF!,"=1")=0),"",SUMIFS(#REF!,#REF!,C21,#REF!,$M$3,#REF!,$N$3,#REF!,"=1"))</f>
        <v>#REF!</v>
      </c>
      <c r="H21" s="281" t="str">
        <f>IFERROR(IF(OR(C21="",SUMIFS(SalesByItemData!$I$3:$I$4995,SalesByItemData!$G$3:$G$4995,C21,SalesByItemData!$V$3:$V$4995,$M$3*1,SalesByItemData!$W$3:$W$4995,$N$3,SalesByItemData!$A$3:$A$4995,"&gt;0")+SUMIFS(SalesByItemData!$J$3:$J$4995,SalesByItemData!$G$3:$G$4995,C21,SalesByItemData!$V$3:$V$4995,$M$3*1,SalesByItemData!$W$3:$W$4995,$N$3,SalesByItemData!$A$3:$A$4995,"&gt;0")=0),"",SUMIFS(SalesByItemData!$I$3:$I$4995,SalesByItemData!$G$3:$G$4995,C21,SalesByItemData!$V$3:$V$4995,$M$3*1,SalesByItemData!$W$3:$W$4995,$N$3,SalesByItemData!$A$3:$A$4995,"&gt;0")+SUMIFS(SalesByItemData!$J$3:$J$4995,SalesByItemData!$G$3:$G$4995,C21,SalesByItemData!$V$3:$V$4995,$M$3*1,SalesByItemData!$W$3:$W$4995,$N$3,SalesByItemData!$A$3:$A$4995,"&gt;0")),"")</f>
        <v/>
      </c>
      <c r="I21" s="492" t="e">
        <f t="shared" si="4"/>
        <v>#REF!</v>
      </c>
      <c r="J21" s="863"/>
      <c r="K21" s="139"/>
    </row>
    <row r="22" spans="2:22" ht="24.95" hidden="1" customHeight="1">
      <c r="B22" s="494">
        <v>16</v>
      </c>
      <c r="C22" s="492" t="str">
        <f t="shared" si="1"/>
        <v/>
      </c>
      <c r="D22" s="493" t="s">
        <v>1802</v>
      </c>
      <c r="E22" s="525" t="e">
        <f t="shared" si="3"/>
        <v>#N/A</v>
      </c>
      <c r="F22" s="281" t="e">
        <f>IF(OR(C22="",SUMIFS(#REF!,#REF!,C22,#REF!,"&gt;="&amp;$P$3,#REF!,"&lt;="&amp;$Q$3,#REF!,"=1")=0,SUMIFS(#REF!,#REF!,C22,#REF!,"&gt;="&amp;$P$3,#REF!,"&lt;="&amp;$Q$3,#REF!,"=1")=""),0,SUMIFS(#REF!,#REF!,C22,#REF!,"&gt;="&amp;$P$3,#REF!,"&lt;="&amp;$Q$3,#REF!,"=1"))-IF(OR(C22="",SUMIFS(SalesByItemData!$I$3:$I$4995,SalesByItemData!$G$3:$G$4995,C22,SalesByItemData!$E$3:$E$4995,"&gt;="&amp;$P$3,SalesByItemData!$E$3:$E$4995,"&lt;="&amp;$Q$3,SalesByItemData!$X$3:$X$4995,"=1")+SUMIFS(SalesByItemData!$J$3:$J$4995,SalesByItemData!$G$3:$G$4995,C22,SalesByItemData!$E$3:$E$4995,"&gt;="&amp;$P$3,SalesByItemData!$E$3:$E$4995,"&lt;="&amp;$Q$3,SalesByItemData!$X$3:$X$4995,"&gt;0")=0),0,SUMIFS(SalesByItemData!$I$3:$I$4995,SalesByItemData!$G$3:$G$4995,C22,SalesByItemData!$E$3:$E$4995,"&gt;="&amp;$P$3,SalesByItemData!$E$3:$E$4995,"&lt;="&amp;$Q$3,SalesByItemData!$X$3:$X$4995,"=1")+SUMIFS(SalesByItemData!$J$3:$J$4995,SalesByItemData!$G$3:$G$4995,C22,SalesByItemData!$E$3:$E$4995,"&gt;="&amp;$P$3,SalesByItemData!$E$3:$E$4995,"&lt;="&amp;$Q$3,SalesByItemData!$X$3:$X$4995,"&gt;0"))</f>
        <v>#REF!</v>
      </c>
      <c r="G22" s="492" t="e">
        <f>IF(OR(C22="",SUMIFS(#REF!,#REF!,C22,#REF!,$M$3,#REF!,$N$3,#REF!,"=1")=0),"",SUMIFS(#REF!,#REF!,C22,#REF!,$M$3,#REF!,$N$3,#REF!,"=1"))</f>
        <v>#REF!</v>
      </c>
      <c r="H22" s="281" t="str">
        <f>IFERROR(IF(OR(C22="",SUMIFS(SalesByItemData!$I$3:$I$4995,SalesByItemData!$G$3:$G$4995,C22,SalesByItemData!$V$3:$V$4995,$M$3*1,SalesByItemData!$W$3:$W$4995,$N$3,SalesByItemData!$A$3:$A$4995,"&gt;0")+SUMIFS(SalesByItemData!$J$3:$J$4995,SalesByItemData!$G$3:$G$4995,C22,SalesByItemData!$V$3:$V$4995,$M$3*1,SalesByItemData!$W$3:$W$4995,$N$3,SalesByItemData!$A$3:$A$4995,"&gt;0")=0),"",SUMIFS(SalesByItemData!$I$3:$I$4995,SalesByItemData!$G$3:$G$4995,C22,SalesByItemData!$V$3:$V$4995,$M$3*1,SalesByItemData!$W$3:$W$4995,$N$3,SalesByItemData!$A$3:$A$4995,"&gt;0")+SUMIFS(SalesByItemData!$J$3:$J$4995,SalesByItemData!$G$3:$G$4995,C22,SalesByItemData!$V$3:$V$4995,$M$3*1,SalesByItemData!$W$3:$W$4995,$N$3,SalesByItemData!$A$3:$A$4995,"&gt;0")),"")</f>
        <v/>
      </c>
      <c r="I22" s="492" t="e">
        <f t="shared" si="4"/>
        <v>#REF!</v>
      </c>
      <c r="J22" s="863"/>
      <c r="K22" s="139"/>
    </row>
    <row r="23" spans="2:22" ht="24.95" hidden="1" customHeight="1">
      <c r="B23" s="494">
        <v>17</v>
      </c>
      <c r="C23" s="492" t="str">
        <f t="shared" si="1"/>
        <v/>
      </c>
      <c r="D23" s="493" t="s">
        <v>1803</v>
      </c>
      <c r="E23" s="525" t="e">
        <f t="shared" si="3"/>
        <v>#N/A</v>
      </c>
      <c r="F23" s="281" t="e">
        <f>IF(OR(C23="",SUMIFS(#REF!,#REF!,C23,#REF!,"&gt;="&amp;$P$3,#REF!,"&lt;="&amp;$Q$3,#REF!,"=1")=0,SUMIFS(#REF!,#REF!,C23,#REF!,"&gt;="&amp;$P$3,#REF!,"&lt;="&amp;$Q$3,#REF!,"=1")=""),0,SUMIFS(#REF!,#REF!,C23,#REF!,"&gt;="&amp;$P$3,#REF!,"&lt;="&amp;$Q$3,#REF!,"=1"))-IF(OR(C23="",SUMIFS(SalesByItemData!$I$3:$I$4995,SalesByItemData!$G$3:$G$4995,C23,SalesByItemData!$E$3:$E$4995,"&gt;="&amp;$P$3,SalesByItemData!$E$3:$E$4995,"&lt;="&amp;$Q$3,SalesByItemData!$X$3:$X$4995,"=1")+SUMIFS(SalesByItemData!$J$3:$J$4995,SalesByItemData!$G$3:$G$4995,C23,SalesByItemData!$E$3:$E$4995,"&gt;="&amp;$P$3,SalesByItemData!$E$3:$E$4995,"&lt;="&amp;$Q$3,SalesByItemData!$X$3:$X$4995,"&gt;0")=0),0,SUMIFS(SalesByItemData!$I$3:$I$4995,SalesByItemData!$G$3:$G$4995,C23,SalesByItemData!$E$3:$E$4995,"&gt;="&amp;$P$3,SalesByItemData!$E$3:$E$4995,"&lt;="&amp;$Q$3,SalesByItemData!$X$3:$X$4995,"=1")+SUMIFS(SalesByItemData!$J$3:$J$4995,SalesByItemData!$G$3:$G$4995,C23,SalesByItemData!$E$3:$E$4995,"&gt;="&amp;$P$3,SalesByItemData!$E$3:$E$4995,"&lt;="&amp;$Q$3,SalesByItemData!$X$3:$X$4995,"&gt;0"))</f>
        <v>#REF!</v>
      </c>
      <c r="G23" s="492" t="e">
        <f>IF(OR(C23="",SUMIFS(#REF!,#REF!,C23,#REF!,$M$3,#REF!,$N$3,#REF!,"=1")=0),"",SUMIFS(#REF!,#REF!,C23,#REF!,$M$3,#REF!,$N$3,#REF!,"=1"))</f>
        <v>#REF!</v>
      </c>
      <c r="H23" s="281" t="str">
        <f>IFERROR(IF(OR(C23="",SUMIFS(SalesByItemData!$I$3:$I$4995,SalesByItemData!$G$3:$G$4995,C23,SalesByItemData!$V$3:$V$4995,$M$3*1,SalesByItemData!$W$3:$W$4995,$N$3,SalesByItemData!$A$3:$A$4995,"&gt;0")+SUMIFS(SalesByItemData!$J$3:$J$4995,SalesByItemData!$G$3:$G$4995,C23,SalesByItemData!$V$3:$V$4995,$M$3*1,SalesByItemData!$W$3:$W$4995,$N$3,SalesByItemData!$A$3:$A$4995,"&gt;0")=0),"",SUMIFS(SalesByItemData!$I$3:$I$4995,SalesByItemData!$G$3:$G$4995,C23,SalesByItemData!$V$3:$V$4995,$M$3*1,SalesByItemData!$W$3:$W$4995,$N$3,SalesByItemData!$A$3:$A$4995,"&gt;0")+SUMIFS(SalesByItemData!$J$3:$J$4995,SalesByItemData!$G$3:$G$4995,C23,SalesByItemData!$V$3:$V$4995,$M$3*1,SalesByItemData!$W$3:$W$4995,$N$3,SalesByItemData!$A$3:$A$4995,"&gt;0")),"")</f>
        <v/>
      </c>
      <c r="I23" s="492" t="e">
        <f t="shared" si="4"/>
        <v>#REF!</v>
      </c>
      <c r="J23" s="863"/>
      <c r="K23" s="139"/>
    </row>
    <row r="24" spans="2:22" ht="24.95" hidden="1" customHeight="1">
      <c r="B24" s="494">
        <v>18</v>
      </c>
      <c r="C24" s="492" t="str">
        <f t="shared" si="1"/>
        <v/>
      </c>
      <c r="D24" s="493" t="s">
        <v>1804</v>
      </c>
      <c r="E24" s="525" t="e">
        <f t="shared" si="3"/>
        <v>#N/A</v>
      </c>
      <c r="F24" s="281" t="e">
        <f>IF(OR(C24="",SUMIFS(#REF!,#REF!,C24,#REF!,"&gt;="&amp;$P$3,#REF!,"&lt;="&amp;$Q$3,#REF!,"=1")=0,SUMIFS(#REF!,#REF!,C24,#REF!,"&gt;="&amp;$P$3,#REF!,"&lt;="&amp;$Q$3,#REF!,"=1")=""),0,SUMIFS(#REF!,#REF!,C24,#REF!,"&gt;="&amp;$P$3,#REF!,"&lt;="&amp;$Q$3,#REF!,"=1"))-IF(OR(C24="",SUMIFS(SalesByItemData!$I$3:$I$4995,SalesByItemData!$G$3:$G$4995,C24,SalesByItemData!$E$3:$E$4995,"&gt;="&amp;$P$3,SalesByItemData!$E$3:$E$4995,"&lt;="&amp;$Q$3,SalesByItemData!$X$3:$X$4995,"=1")+SUMIFS(SalesByItemData!$J$3:$J$4995,SalesByItemData!$G$3:$G$4995,C24,SalesByItemData!$E$3:$E$4995,"&gt;="&amp;$P$3,SalesByItemData!$E$3:$E$4995,"&lt;="&amp;$Q$3,SalesByItemData!$X$3:$X$4995,"&gt;0")=0),0,SUMIFS(SalesByItemData!$I$3:$I$4995,SalesByItemData!$G$3:$G$4995,C24,SalesByItemData!$E$3:$E$4995,"&gt;="&amp;$P$3,SalesByItemData!$E$3:$E$4995,"&lt;="&amp;$Q$3,SalesByItemData!$X$3:$X$4995,"=1")+SUMIFS(SalesByItemData!$J$3:$J$4995,SalesByItemData!$G$3:$G$4995,C24,SalesByItemData!$E$3:$E$4995,"&gt;="&amp;$P$3,SalesByItemData!$E$3:$E$4995,"&lt;="&amp;$Q$3,SalesByItemData!$X$3:$X$4995,"&gt;0"))</f>
        <v>#REF!</v>
      </c>
      <c r="G24" s="492" t="e">
        <f>IF(OR(C24="",SUMIFS(#REF!,#REF!,C24,#REF!,$M$3,#REF!,$N$3,#REF!,"=1")=0),"",SUMIFS(#REF!,#REF!,C24,#REF!,$M$3,#REF!,$N$3,#REF!,"=1"))</f>
        <v>#REF!</v>
      </c>
      <c r="H24" s="281" t="str">
        <f>IFERROR(IF(OR(C24="",SUMIFS(SalesByItemData!$I$3:$I$4995,SalesByItemData!$G$3:$G$4995,C24,SalesByItemData!$V$3:$V$4995,$M$3*1,SalesByItemData!$W$3:$W$4995,$N$3,SalesByItemData!$A$3:$A$4995,"&gt;0")+SUMIFS(SalesByItemData!$J$3:$J$4995,SalesByItemData!$G$3:$G$4995,C24,SalesByItemData!$V$3:$V$4995,$M$3*1,SalesByItemData!$W$3:$W$4995,$N$3,SalesByItemData!$A$3:$A$4995,"&gt;0")=0),"",SUMIFS(SalesByItemData!$I$3:$I$4995,SalesByItemData!$G$3:$G$4995,C24,SalesByItemData!$V$3:$V$4995,$M$3*1,SalesByItemData!$W$3:$W$4995,$N$3,SalesByItemData!$A$3:$A$4995,"&gt;0")+SUMIFS(SalesByItemData!$J$3:$J$4995,SalesByItemData!$G$3:$G$4995,C24,SalesByItemData!$V$3:$V$4995,$M$3*1,SalesByItemData!$W$3:$W$4995,$N$3,SalesByItemData!$A$3:$A$4995,"&gt;0")),"")</f>
        <v/>
      </c>
      <c r="I24" s="492" t="e">
        <f t="shared" si="4"/>
        <v>#REF!</v>
      </c>
      <c r="J24" s="863"/>
      <c r="K24" s="139"/>
    </row>
    <row r="25" spans="2:22" ht="24.95" hidden="1" customHeight="1">
      <c r="B25" s="494">
        <v>19</v>
      </c>
      <c r="C25" s="492" t="str">
        <f t="shared" si="1"/>
        <v/>
      </c>
      <c r="D25" s="493" t="s">
        <v>1805</v>
      </c>
      <c r="E25" s="525" t="e">
        <f t="shared" si="3"/>
        <v>#N/A</v>
      </c>
      <c r="F25" s="281" t="e">
        <f>IF(OR(C25="",SUMIFS(#REF!,#REF!,C25,#REF!,"&gt;="&amp;$P$3,#REF!,"&lt;="&amp;$Q$3,#REF!,"=1")=0,SUMIFS(#REF!,#REF!,C25,#REF!,"&gt;="&amp;$P$3,#REF!,"&lt;="&amp;$Q$3,#REF!,"=1")=""),0,SUMIFS(#REF!,#REF!,C25,#REF!,"&gt;="&amp;$P$3,#REF!,"&lt;="&amp;$Q$3,#REF!,"=1"))-IF(OR(C25="",SUMIFS(SalesByItemData!$I$3:$I$4995,SalesByItemData!$G$3:$G$4995,C25,SalesByItemData!$E$3:$E$4995,"&gt;="&amp;$P$3,SalesByItemData!$E$3:$E$4995,"&lt;="&amp;$Q$3,SalesByItemData!$X$3:$X$4995,"=1")+SUMIFS(SalesByItemData!$J$3:$J$4995,SalesByItemData!$G$3:$G$4995,C25,SalesByItemData!$E$3:$E$4995,"&gt;="&amp;$P$3,SalesByItemData!$E$3:$E$4995,"&lt;="&amp;$Q$3,SalesByItemData!$X$3:$X$4995,"&gt;0")=0),0,SUMIFS(SalesByItemData!$I$3:$I$4995,SalesByItemData!$G$3:$G$4995,C25,SalesByItemData!$E$3:$E$4995,"&gt;="&amp;$P$3,SalesByItemData!$E$3:$E$4995,"&lt;="&amp;$Q$3,SalesByItemData!$X$3:$X$4995,"=1")+SUMIFS(SalesByItemData!$J$3:$J$4995,SalesByItemData!$G$3:$G$4995,C25,SalesByItemData!$E$3:$E$4995,"&gt;="&amp;$P$3,SalesByItemData!$E$3:$E$4995,"&lt;="&amp;$Q$3,SalesByItemData!$X$3:$X$4995,"&gt;0"))</f>
        <v>#REF!</v>
      </c>
      <c r="G25" s="492" t="e">
        <f>IF(OR(C25="",SUMIFS(#REF!,#REF!,C25,#REF!,$M$3,#REF!,$N$3,#REF!,"=1")=0),"",SUMIFS(#REF!,#REF!,C25,#REF!,$M$3,#REF!,$N$3,#REF!,"=1"))</f>
        <v>#REF!</v>
      </c>
      <c r="H25" s="281" t="str">
        <f>IFERROR(IF(OR(C25="",SUMIFS(SalesByItemData!$I$3:$I$4995,SalesByItemData!$G$3:$G$4995,C25,SalesByItemData!$V$3:$V$4995,$M$3*1,SalesByItemData!$W$3:$W$4995,$N$3,SalesByItemData!$A$3:$A$4995,"&gt;0")+SUMIFS(SalesByItemData!$J$3:$J$4995,SalesByItemData!$G$3:$G$4995,C25,SalesByItemData!$V$3:$V$4995,$M$3*1,SalesByItemData!$W$3:$W$4995,$N$3,SalesByItemData!$A$3:$A$4995,"&gt;0")=0),"",SUMIFS(SalesByItemData!$I$3:$I$4995,SalesByItemData!$G$3:$G$4995,C25,SalesByItemData!$V$3:$V$4995,$M$3*1,SalesByItemData!$W$3:$W$4995,$N$3,SalesByItemData!$A$3:$A$4995,"&gt;0")+SUMIFS(SalesByItemData!$J$3:$J$4995,SalesByItemData!$G$3:$G$4995,C25,SalesByItemData!$V$3:$V$4995,$M$3*1,SalesByItemData!$W$3:$W$4995,$N$3,SalesByItemData!$A$3:$A$4995,"&gt;0")),"")</f>
        <v/>
      </c>
      <c r="I25" s="492" t="e">
        <f t="shared" si="4"/>
        <v>#REF!</v>
      </c>
      <c r="J25" s="863"/>
      <c r="K25" s="139"/>
    </row>
    <row r="26" spans="2:22" ht="24.95" hidden="1" customHeight="1">
      <c r="B26" s="494">
        <v>20</v>
      </c>
      <c r="C26" s="492" t="str">
        <f t="shared" si="1"/>
        <v/>
      </c>
      <c r="D26" s="493" t="s">
        <v>1806</v>
      </c>
      <c r="E26" s="525" t="e">
        <f t="shared" si="3"/>
        <v>#N/A</v>
      </c>
      <c r="F26" s="281" t="e">
        <f>IF(OR(C26="",SUMIFS(#REF!,#REF!,C26,#REF!,"&gt;="&amp;$P$3,#REF!,"&lt;="&amp;$Q$3,#REF!,"=1")=0,SUMIFS(#REF!,#REF!,C26,#REF!,"&gt;="&amp;$P$3,#REF!,"&lt;="&amp;$Q$3,#REF!,"=1")=""),0,SUMIFS(#REF!,#REF!,C26,#REF!,"&gt;="&amp;$P$3,#REF!,"&lt;="&amp;$Q$3,#REF!,"=1"))-IF(OR(C26="",SUMIFS(SalesByItemData!$I$3:$I$4995,SalesByItemData!$G$3:$G$4995,C26,SalesByItemData!$E$3:$E$4995,"&gt;="&amp;$P$3,SalesByItemData!$E$3:$E$4995,"&lt;="&amp;$Q$3,SalesByItemData!$X$3:$X$4995,"=1")+SUMIFS(SalesByItemData!$J$3:$J$4995,SalesByItemData!$G$3:$G$4995,C26,SalesByItemData!$E$3:$E$4995,"&gt;="&amp;$P$3,SalesByItemData!$E$3:$E$4995,"&lt;="&amp;$Q$3,SalesByItemData!$X$3:$X$4995,"&gt;0")=0),0,SUMIFS(SalesByItemData!$I$3:$I$4995,SalesByItemData!$G$3:$G$4995,C26,SalesByItemData!$E$3:$E$4995,"&gt;="&amp;$P$3,SalesByItemData!$E$3:$E$4995,"&lt;="&amp;$Q$3,SalesByItemData!$X$3:$X$4995,"=1")+SUMIFS(SalesByItemData!$J$3:$J$4995,SalesByItemData!$G$3:$G$4995,C26,SalesByItemData!$E$3:$E$4995,"&gt;="&amp;$P$3,SalesByItemData!$E$3:$E$4995,"&lt;="&amp;$Q$3,SalesByItemData!$X$3:$X$4995,"&gt;0"))</f>
        <v>#REF!</v>
      </c>
      <c r="G26" s="492" t="e">
        <f>IF(OR(C26="",SUMIFS(#REF!,#REF!,C26,#REF!,$M$3,#REF!,$N$3,#REF!,"=1")=0),"",SUMIFS(#REF!,#REF!,C26,#REF!,$M$3,#REF!,$N$3,#REF!,"=1"))</f>
        <v>#REF!</v>
      </c>
      <c r="H26" s="281" t="str">
        <f>IFERROR(IF(OR(C26="",SUMIFS(SalesByItemData!$I$3:$I$4995,SalesByItemData!$G$3:$G$4995,C26,SalesByItemData!$V$3:$V$4995,$M$3*1,SalesByItemData!$W$3:$W$4995,$N$3,SalesByItemData!$A$3:$A$4995,"&gt;0")+SUMIFS(SalesByItemData!$J$3:$J$4995,SalesByItemData!$G$3:$G$4995,C26,SalesByItemData!$V$3:$V$4995,$M$3*1,SalesByItemData!$W$3:$W$4995,$N$3,SalesByItemData!$A$3:$A$4995,"&gt;0")=0),"",SUMIFS(SalesByItemData!$I$3:$I$4995,SalesByItemData!$G$3:$G$4995,C26,SalesByItemData!$V$3:$V$4995,$M$3*1,SalesByItemData!$W$3:$W$4995,$N$3,SalesByItemData!$A$3:$A$4995,"&gt;0")+SUMIFS(SalesByItemData!$J$3:$J$4995,SalesByItemData!$G$3:$G$4995,C26,SalesByItemData!$V$3:$V$4995,$M$3*1,SalesByItemData!$W$3:$W$4995,$N$3,SalesByItemData!$A$3:$A$4995,"&gt;0")),"")</f>
        <v/>
      </c>
      <c r="I26" s="492" t="e">
        <f t="shared" si="4"/>
        <v>#REF!</v>
      </c>
      <c r="J26" s="863"/>
      <c r="K26" s="139"/>
    </row>
    <row r="27" spans="2:22" ht="24.95" hidden="1" customHeight="1">
      <c r="B27" s="494">
        <v>21</v>
      </c>
      <c r="C27" s="492" t="str">
        <f>IFERROR(IF(D27&lt;&gt;"",VLOOKUP(MID(D27,1,2),product_list,2,FALSE),""),"")</f>
        <v/>
      </c>
      <c r="D27" s="493" t="s">
        <v>1807</v>
      </c>
      <c r="E27" s="525" t="e">
        <f t="shared" si="3"/>
        <v>#N/A</v>
      </c>
      <c r="F27" s="281" t="e">
        <f>IF(OR(C27="",SUMIFS(#REF!,#REF!,C27,#REF!,"&gt;="&amp;$P$3,#REF!,"&lt;="&amp;$Q$3,#REF!,"=1")=0,SUMIFS(#REF!,#REF!,C27,#REF!,"&gt;="&amp;$P$3,#REF!,"&lt;="&amp;$Q$3,#REF!,"=1")=""),0,SUMIFS(#REF!,#REF!,C27,#REF!,"&gt;="&amp;$P$3,#REF!,"&lt;="&amp;$Q$3,#REF!,"=1"))-IF(OR(C27="",SUMIFS(SalesByItemData!$I$3:$I$4995,SalesByItemData!$G$3:$G$4995,C27,SalesByItemData!$E$3:$E$4995,"&gt;="&amp;$P$3,SalesByItemData!$E$3:$E$4995,"&lt;="&amp;$Q$3,SalesByItemData!$X$3:$X$4995,"=1")+SUMIFS(SalesByItemData!$J$3:$J$4995,SalesByItemData!$G$3:$G$4995,C27,SalesByItemData!$E$3:$E$4995,"&gt;="&amp;$P$3,SalesByItemData!$E$3:$E$4995,"&lt;="&amp;$Q$3,SalesByItemData!$X$3:$X$4995,"&gt;0")=0),0,SUMIFS(SalesByItemData!$I$3:$I$4995,SalesByItemData!$G$3:$G$4995,C27,SalesByItemData!$E$3:$E$4995,"&gt;="&amp;$P$3,SalesByItemData!$E$3:$E$4995,"&lt;="&amp;$Q$3,SalesByItemData!$X$3:$X$4995,"=1")+SUMIFS(SalesByItemData!$J$3:$J$4995,SalesByItemData!$G$3:$G$4995,C27,SalesByItemData!$E$3:$E$4995,"&gt;="&amp;$P$3,SalesByItemData!$E$3:$E$4995,"&lt;="&amp;$Q$3,SalesByItemData!$X$3:$X$4995,"&gt;0"))</f>
        <v>#REF!</v>
      </c>
      <c r="G27" s="492" t="e">
        <f>IF(OR(C27="",SUMIFS(#REF!,#REF!,C27,#REF!,$M$3,#REF!,$N$3,#REF!,"=1")=0),"",SUMIFS(#REF!,#REF!,C27,#REF!,$M$3,#REF!,$N$3,#REF!,"=1"))</f>
        <v>#REF!</v>
      </c>
      <c r="H27" s="281" t="str">
        <f>IFERROR(IF(OR(C27="",SUMIFS(SalesByItemData!$I$3:$I$4995,SalesByItemData!$G$3:$G$4995,C27,SalesByItemData!$V$3:$V$4995,$M$3*1,SalesByItemData!$W$3:$W$4995,$N$3,SalesByItemData!$A$3:$A$4995,"&gt;0")+SUMIFS(SalesByItemData!$J$3:$J$4995,SalesByItemData!$G$3:$G$4995,C27,SalesByItemData!$V$3:$V$4995,$M$3*1,SalesByItemData!$W$3:$W$4995,$N$3,SalesByItemData!$A$3:$A$4995,"&gt;0")=0),"",SUMIFS(SalesByItemData!$I$3:$I$4995,SalesByItemData!$G$3:$G$4995,C27,SalesByItemData!$V$3:$V$4995,$M$3*1,SalesByItemData!$W$3:$W$4995,$N$3,SalesByItemData!$A$3:$A$4995,"&gt;0")+SUMIFS(SalesByItemData!$J$3:$J$4995,SalesByItemData!$G$3:$G$4995,C27,SalesByItemData!$V$3:$V$4995,$M$3*1,SalesByItemData!$W$3:$W$4995,$N$3,SalesByItemData!$A$3:$A$4995,"&gt;0")),"")</f>
        <v/>
      </c>
      <c r="I27" s="492" t="e">
        <f>IF((IF(F27="",0,F27)+IF(G27="",0,G27)-IF(H27="",0,H27))=0,"",IF(F27="",0,F27)+IF(G27="",0,G27)-IF(H27="",0,H27))</f>
        <v>#REF!</v>
      </c>
      <c r="J27" s="863"/>
      <c r="K27" s="139"/>
    </row>
    <row r="28" spans="2:22" ht="24.95" hidden="1" customHeight="1">
      <c r="B28" s="494">
        <v>22</v>
      </c>
      <c r="C28" s="492" t="str">
        <f>IFERROR(IF(D28&lt;&gt;"",VLOOKUP(MID(D28,1,2),product_list,2,FALSE),""),"")</f>
        <v/>
      </c>
      <c r="D28" s="493" t="s">
        <v>1808</v>
      </c>
      <c r="E28" s="525" t="e">
        <f t="shared" si="3"/>
        <v>#N/A</v>
      </c>
      <c r="F28" s="281" t="e">
        <f>IF(OR(C28="",SUMIFS(#REF!,#REF!,C28,#REF!,"&gt;="&amp;$P$3,#REF!,"&lt;="&amp;$Q$3,#REF!,"=1")=0,SUMIFS(#REF!,#REF!,C28,#REF!,"&gt;="&amp;$P$3,#REF!,"&lt;="&amp;$Q$3,#REF!,"=1")=""),0,SUMIFS(#REF!,#REF!,C28,#REF!,"&gt;="&amp;$P$3,#REF!,"&lt;="&amp;$Q$3,#REF!,"=1"))-IF(OR(C28="",SUMIFS(SalesByItemData!$I$3:$I$4995,SalesByItemData!$G$3:$G$4995,C28,SalesByItemData!$E$3:$E$4995,"&gt;="&amp;$P$3,SalesByItemData!$E$3:$E$4995,"&lt;="&amp;$Q$3,SalesByItemData!$X$3:$X$4995,"=1")+SUMIFS(SalesByItemData!$J$3:$J$4995,SalesByItemData!$G$3:$G$4995,C28,SalesByItemData!$E$3:$E$4995,"&gt;="&amp;$P$3,SalesByItemData!$E$3:$E$4995,"&lt;="&amp;$Q$3,SalesByItemData!$X$3:$X$4995,"&gt;0")=0),0,SUMIFS(SalesByItemData!$I$3:$I$4995,SalesByItemData!$G$3:$G$4995,C28,SalesByItemData!$E$3:$E$4995,"&gt;="&amp;$P$3,SalesByItemData!$E$3:$E$4995,"&lt;="&amp;$Q$3,SalesByItemData!$X$3:$X$4995,"=1")+SUMIFS(SalesByItemData!$J$3:$J$4995,SalesByItemData!$G$3:$G$4995,C28,SalesByItemData!$E$3:$E$4995,"&gt;="&amp;$P$3,SalesByItemData!$E$3:$E$4995,"&lt;="&amp;$Q$3,SalesByItemData!$X$3:$X$4995,"&gt;0"))</f>
        <v>#REF!</v>
      </c>
      <c r="G28" s="492" t="e">
        <f>IF(OR(C28="",SUMIFS(#REF!,#REF!,C28,#REF!,$M$3,#REF!,$N$3,#REF!,"=1")=0),"",SUMIFS(#REF!,#REF!,C28,#REF!,$M$3,#REF!,$N$3,#REF!,"=1"))</f>
        <v>#REF!</v>
      </c>
      <c r="H28" s="281" t="str">
        <f>IFERROR(IF(OR(C28="",SUMIFS(SalesByItemData!$I$3:$I$4995,SalesByItemData!$G$3:$G$4995,C28,SalesByItemData!$V$3:$V$4995,$M$3*1,SalesByItemData!$W$3:$W$4995,$N$3,SalesByItemData!$A$3:$A$4995,"&gt;0")+SUMIFS(SalesByItemData!$J$3:$J$4995,SalesByItemData!$G$3:$G$4995,C28,SalesByItemData!$V$3:$V$4995,$M$3*1,SalesByItemData!$W$3:$W$4995,$N$3,SalesByItemData!$A$3:$A$4995,"&gt;0")=0),"",SUMIFS(SalesByItemData!$I$3:$I$4995,SalesByItemData!$G$3:$G$4995,C28,SalesByItemData!$V$3:$V$4995,$M$3*1,SalesByItemData!$W$3:$W$4995,$N$3,SalesByItemData!$A$3:$A$4995,"&gt;0")+SUMIFS(SalesByItemData!$J$3:$J$4995,SalesByItemData!$G$3:$G$4995,C28,SalesByItemData!$V$3:$V$4995,$M$3*1,SalesByItemData!$W$3:$W$4995,$N$3,SalesByItemData!$A$3:$A$4995,"&gt;0")),"")</f>
        <v/>
      </c>
      <c r="I28" s="492" t="e">
        <f>IF((IF(F28="",0,F28)+IF(G28="",0,G28)-IF(H28="",0,H28))=0,"",IF(F28="",0,F28)+IF(G28="",0,G28)-IF(H28="",0,H28))</f>
        <v>#REF!</v>
      </c>
      <c r="J28" s="863"/>
      <c r="K28" s="139"/>
    </row>
    <row r="29" spans="2:22" ht="24.95" hidden="1" customHeight="1">
      <c r="B29" s="494">
        <v>23</v>
      </c>
      <c r="C29" s="492" t="str">
        <f>IFERROR(IF(D29&lt;&gt;"",VLOOKUP(MID(D29,1,2),product_list,2,FALSE),""),"")</f>
        <v/>
      </c>
      <c r="D29" s="493" t="s">
        <v>1809</v>
      </c>
      <c r="E29" s="525" t="e">
        <f t="shared" si="3"/>
        <v>#N/A</v>
      </c>
      <c r="F29" s="281" t="e">
        <f>IF(OR(C29="",SUMIFS(#REF!,#REF!,C29,#REF!,"&gt;="&amp;$P$3,#REF!,"&lt;="&amp;$Q$3,#REF!,"=1")=0,SUMIFS(#REF!,#REF!,C29,#REF!,"&gt;="&amp;$P$3,#REF!,"&lt;="&amp;$Q$3,#REF!,"=1")=""),0,SUMIFS(#REF!,#REF!,C29,#REF!,"&gt;="&amp;$P$3,#REF!,"&lt;="&amp;$Q$3,#REF!,"=1"))-IF(OR(C29="",SUMIFS(SalesByItemData!$I$3:$I$4995,SalesByItemData!$G$3:$G$4995,C29,SalesByItemData!$E$3:$E$4995,"&gt;="&amp;$P$3,SalesByItemData!$E$3:$E$4995,"&lt;="&amp;$Q$3,SalesByItemData!$X$3:$X$4995,"=1")+SUMIFS(SalesByItemData!$J$3:$J$4995,SalesByItemData!$G$3:$G$4995,C29,SalesByItemData!$E$3:$E$4995,"&gt;="&amp;$P$3,SalesByItemData!$E$3:$E$4995,"&lt;="&amp;$Q$3,SalesByItemData!$X$3:$X$4995,"&gt;0")=0),0,SUMIFS(SalesByItemData!$I$3:$I$4995,SalesByItemData!$G$3:$G$4995,C29,SalesByItemData!$E$3:$E$4995,"&gt;="&amp;$P$3,SalesByItemData!$E$3:$E$4995,"&lt;="&amp;$Q$3,SalesByItemData!$X$3:$X$4995,"=1")+SUMIFS(SalesByItemData!$J$3:$J$4995,SalesByItemData!$G$3:$G$4995,C29,SalesByItemData!$E$3:$E$4995,"&gt;="&amp;$P$3,SalesByItemData!$E$3:$E$4995,"&lt;="&amp;$Q$3,SalesByItemData!$X$3:$X$4995,"&gt;0"))</f>
        <v>#REF!</v>
      </c>
      <c r="G29" s="492" t="e">
        <f>IF(OR(C29="",SUMIFS(#REF!,#REF!,C29,#REF!,$M$3,#REF!,$N$3,#REF!,"=1")=0),"",SUMIFS(#REF!,#REF!,C29,#REF!,$M$3,#REF!,$N$3,#REF!,"=1"))</f>
        <v>#REF!</v>
      </c>
      <c r="H29" s="281" t="str">
        <f>IFERROR(IF(OR(C29="",SUMIFS(SalesByItemData!$I$3:$I$4995,SalesByItemData!$G$3:$G$4995,C29,SalesByItemData!$V$3:$V$4995,$M$3*1,SalesByItemData!$W$3:$W$4995,$N$3,SalesByItemData!$A$3:$A$4995,"&gt;0")+SUMIFS(SalesByItemData!$J$3:$J$4995,SalesByItemData!$G$3:$G$4995,C29,SalesByItemData!$V$3:$V$4995,$M$3*1,SalesByItemData!$W$3:$W$4995,$N$3,SalesByItemData!$A$3:$A$4995,"&gt;0")=0),"",SUMIFS(SalesByItemData!$I$3:$I$4995,SalesByItemData!$G$3:$G$4995,C29,SalesByItemData!$V$3:$V$4995,$M$3*1,SalesByItemData!$W$3:$W$4995,$N$3,SalesByItemData!$A$3:$A$4995,"&gt;0")+SUMIFS(SalesByItemData!$J$3:$J$4995,SalesByItemData!$G$3:$G$4995,C29,SalesByItemData!$V$3:$V$4995,$M$3*1,SalesByItemData!$W$3:$W$4995,$N$3,SalesByItemData!$A$3:$A$4995,"&gt;0")),"")</f>
        <v/>
      </c>
      <c r="I29" s="492" t="e">
        <f>IF((IF(F29="",0,F29)+IF(G29="",0,G29)-IF(H29="",0,H29))=0,"",IF(F29="",0,F29)+IF(G29="",0,G29)-IF(H29="",0,H29))</f>
        <v>#REF!</v>
      </c>
      <c r="J29" s="863"/>
      <c r="K29" s="139"/>
    </row>
    <row r="30" spans="2:22" ht="24.95" hidden="1" customHeight="1">
      <c r="B30" s="494">
        <v>24</v>
      </c>
      <c r="C30" s="492" t="str">
        <f>IFERROR(IF(D30&lt;&gt;"",VLOOKUP(MID(D30,1,2),product_list,2,FALSE),""),"")</f>
        <v/>
      </c>
      <c r="D30" s="493" t="s">
        <v>1810</v>
      </c>
      <c r="E30" s="525" t="e">
        <f t="shared" si="3"/>
        <v>#N/A</v>
      </c>
      <c r="F30" s="508" t="e">
        <f>IF(OR(C30="",SUMIFS(#REF!,#REF!,C30,#REF!,"&gt;="&amp;$P$3,#REF!,"&lt;="&amp;$Q$3,#REF!,"=1")=0,SUMIFS(#REF!,#REF!,C30,#REF!,"&gt;="&amp;$P$3,#REF!,"&lt;="&amp;$Q$3,#REF!,"=1")=""),0,SUMIFS(#REF!,#REF!,C30,#REF!,"&gt;="&amp;$P$3,#REF!,"&lt;="&amp;$Q$3,#REF!,"=1"))-IF(OR(C30="",SUMIFS(SalesByItemData!$I$3:$I$4995,SalesByItemData!$G$3:$G$4995,C30,SalesByItemData!$E$3:$E$4995,"&gt;="&amp;$P$3,SalesByItemData!$E$3:$E$4995,"&lt;="&amp;$Q$3,SalesByItemData!$X$3:$X$4995,"=1")+SUMIFS(SalesByItemData!$J$3:$J$4995,SalesByItemData!$G$3:$G$4995,C30,SalesByItemData!$E$3:$E$4995,"&gt;="&amp;$P$3,SalesByItemData!$E$3:$E$4995,"&lt;="&amp;$Q$3,SalesByItemData!$X$3:$X$4995,"&gt;0")=0),0,SUMIFS(SalesByItemData!$I$3:$I$4995,SalesByItemData!$G$3:$G$4995,C30,SalesByItemData!$E$3:$E$4995,"&gt;="&amp;$P$3,SalesByItemData!$E$3:$E$4995,"&lt;="&amp;$Q$3,SalesByItemData!$X$3:$X$4995,"=1")+SUMIFS(SalesByItemData!$J$3:$J$4995,SalesByItemData!$G$3:$G$4995,C30,SalesByItemData!$E$3:$E$4995,"&gt;="&amp;$P$3,SalesByItemData!$E$3:$E$4995,"&lt;="&amp;$Q$3,SalesByItemData!$X$3:$X$4995,"&gt;0"))</f>
        <v>#REF!</v>
      </c>
      <c r="G30" s="527" t="e">
        <f>IF(OR(C30="",SUMIFS(#REF!,#REF!,C30,#REF!,$M$3,#REF!,$N$3,#REF!,"=1")=0),"",SUMIFS(#REF!,#REF!,C30,#REF!,$M$3,#REF!,$N$3,#REF!,"=1"))</f>
        <v>#REF!</v>
      </c>
      <c r="H30" s="508" t="str">
        <f>IFERROR(IF(OR(C30="",SUMIFS(SalesByItemData!$I$3:$I$4995,SalesByItemData!$G$3:$G$4995,C30,SalesByItemData!$V$3:$V$4995,$M$3*1,SalesByItemData!$W$3:$W$4995,$N$3,SalesByItemData!$A$3:$A$4995,"&gt;0")+SUMIFS(SalesByItemData!$J$3:$J$4995,SalesByItemData!$G$3:$G$4995,C30,SalesByItemData!$V$3:$V$4995,$M$3*1,SalesByItemData!$W$3:$W$4995,$N$3,SalesByItemData!$A$3:$A$4995,"&gt;0")=0),"",SUMIFS(SalesByItemData!$I$3:$I$4995,SalesByItemData!$G$3:$G$4995,C30,SalesByItemData!$V$3:$V$4995,$M$3*1,SalesByItemData!$W$3:$W$4995,$N$3,SalesByItemData!$A$3:$A$4995,"&gt;0")+SUMIFS(SalesByItemData!$J$3:$J$4995,SalesByItemData!$G$3:$G$4995,C30,SalesByItemData!$V$3:$V$4995,$M$3*1,SalesByItemData!$W$3:$W$4995,$N$3,SalesByItemData!$A$3:$A$4995,"&gt;0")),"")</f>
        <v/>
      </c>
      <c r="I30" s="527" t="e">
        <f>IF((IF(F30="",0,F30)+IF(G30="",0,G30)-IF(H30="",0,H30))=0,"",IF(F30="",0,F30)+IF(G30="",0,G30)-IF(H30="",0,H30))</f>
        <v>#REF!</v>
      </c>
      <c r="J30" s="863"/>
      <c r="K30" s="139"/>
    </row>
    <row r="31" spans="2:22" ht="26.25" customHeight="1">
      <c r="B31" s="480"/>
      <c r="C31" s="259"/>
      <c r="E31" s="306" t="s">
        <v>1814</v>
      </c>
      <c r="F31" s="511" t="e">
        <f>SUM(F7:F30)</f>
        <v>#REF!</v>
      </c>
      <c r="G31" s="511" t="e">
        <f>SUM(G7:G30)</f>
        <v>#REF!</v>
      </c>
      <c r="H31" s="511">
        <f>IFERROR(SUM(H7:H30),"")</f>
        <v>0</v>
      </c>
      <c r="I31" s="511" t="e">
        <f>SUM(I7:I30)</f>
        <v>#REF!</v>
      </c>
      <c r="J31" s="249"/>
      <c r="K31"/>
    </row>
    <row r="32" spans="2:22" s="13" customFormat="1">
      <c r="B32" s="206"/>
      <c r="C32" s="206"/>
      <c r="E32" s="206"/>
      <c r="F32" s="143"/>
      <c r="G32" s="143"/>
      <c r="H32" s="143"/>
      <c r="I32" s="143"/>
      <c r="J32" s="860"/>
      <c r="K32" s="391"/>
      <c r="R32"/>
      <c r="S32"/>
      <c r="T32"/>
      <c r="U32"/>
      <c r="V32"/>
    </row>
    <row r="33" spans="2:22" s="13" customFormat="1">
      <c r="B33" s="206"/>
      <c r="C33" s="206"/>
      <c r="D33" s="206"/>
      <c r="E33" s="206"/>
      <c r="F33" s="143"/>
      <c r="G33" s="143"/>
      <c r="H33" s="143"/>
      <c r="I33" s="143"/>
      <c r="J33" s="860"/>
      <c r="K33" s="391"/>
      <c r="R33"/>
      <c r="S33"/>
      <c r="T33"/>
      <c r="U33"/>
      <c r="V33"/>
    </row>
    <row r="34" spans="2:22" s="13" customFormat="1">
      <c r="B34" s="206"/>
      <c r="C34" s="206"/>
      <c r="D34" s="206"/>
      <c r="E34" s="206"/>
      <c r="F34" s="143"/>
      <c r="G34" s="143"/>
      <c r="H34" s="206"/>
      <c r="I34" s="143"/>
      <c r="J34" s="860"/>
      <c r="K34" s="391"/>
      <c r="R34"/>
      <c r="S34"/>
      <c r="T34"/>
      <c r="U34"/>
      <c r="V34"/>
    </row>
    <row r="35" spans="2:22" s="13" customFormat="1" ht="25.5">
      <c r="C35" s="206"/>
      <c r="D35" s="206"/>
      <c r="E35" s="206"/>
      <c r="F35" s="143"/>
      <c r="G35" s="143"/>
      <c r="H35" s="143"/>
      <c r="I35" s="401"/>
      <c r="J35" s="860"/>
      <c r="K35" s="402"/>
      <c r="L35" s="398"/>
      <c r="M35" s="398"/>
      <c r="N35" s="398"/>
      <c r="R35"/>
      <c r="S35"/>
      <c r="T35"/>
      <c r="U35"/>
      <c r="V35"/>
    </row>
    <row r="36" spans="2:22" s="13" customFormat="1" ht="25.5">
      <c r="B36" s="206"/>
      <c r="C36" s="206"/>
      <c r="D36" s="206"/>
      <c r="E36" s="206"/>
      <c r="F36" s="143"/>
      <c r="G36" s="143"/>
      <c r="H36" s="143"/>
      <c r="I36" s="401"/>
      <c r="J36" s="864"/>
      <c r="K36" s="402"/>
      <c r="L36" s="398"/>
      <c r="M36" s="398"/>
      <c r="N36" s="398"/>
      <c r="R36"/>
      <c r="S36"/>
      <c r="T36"/>
      <c r="U36"/>
      <c r="V36"/>
    </row>
    <row r="37" spans="2:22" s="13" customFormat="1" ht="25.5">
      <c r="B37" s="206"/>
      <c r="C37" s="206"/>
      <c r="D37" s="206"/>
      <c r="E37" s="206"/>
      <c r="F37" s="143"/>
      <c r="G37" s="143"/>
      <c r="H37" s="143"/>
      <c r="I37" s="401"/>
      <c r="J37" s="864"/>
      <c r="K37" s="391"/>
      <c r="L37" s="398"/>
      <c r="M37" s="398"/>
      <c r="N37" s="398"/>
      <c r="R37"/>
      <c r="S37"/>
      <c r="T37"/>
      <c r="U37"/>
      <c r="V37"/>
    </row>
    <row r="38" spans="2:22" s="13" customFormat="1" ht="25.5">
      <c r="B38" s="206"/>
      <c r="C38" s="206"/>
      <c r="D38" s="206"/>
      <c r="E38" s="206"/>
      <c r="F38" s="143"/>
      <c r="G38" s="143"/>
      <c r="H38" s="143"/>
      <c r="I38" s="401"/>
      <c r="J38" s="864"/>
      <c r="K38" s="391"/>
      <c r="M38" s="398"/>
      <c r="N38" s="398"/>
      <c r="R38"/>
      <c r="S38"/>
      <c r="T38"/>
      <c r="U38"/>
      <c r="V38"/>
    </row>
    <row r="39" spans="2:22" s="13" customFormat="1" ht="25.5" hidden="1">
      <c r="B39" s="206"/>
      <c r="C39" s="206"/>
      <c r="D39" s="206"/>
      <c r="E39" s="206"/>
      <c r="F39" s="143"/>
      <c r="G39" s="143"/>
      <c r="H39" s="143"/>
      <c r="I39" s="401"/>
      <c r="J39" s="864"/>
      <c r="K39" s="391"/>
      <c r="L39" s="398"/>
      <c r="M39" s="398"/>
      <c r="N39" s="398"/>
      <c r="R39"/>
      <c r="S39"/>
      <c r="T39"/>
      <c r="U39"/>
      <c r="V39"/>
    </row>
    <row r="40" spans="2:22" s="13" customFormat="1" hidden="1">
      <c r="B40" s="206"/>
      <c r="C40" s="206"/>
      <c r="D40" s="206"/>
      <c r="E40" s="206"/>
      <c r="F40" s="143"/>
      <c r="H40" s="143"/>
      <c r="I40" s="143"/>
      <c r="J40" s="860"/>
      <c r="K40" s="391"/>
      <c r="R40"/>
      <c r="S40"/>
      <c r="T40"/>
      <c r="U40"/>
      <c r="V40"/>
    </row>
    <row r="41" spans="2:22" s="13" customFormat="1" hidden="1">
      <c r="B41" s="206"/>
      <c r="C41" s="206"/>
      <c r="D41" s="206"/>
      <c r="E41" s="206"/>
      <c r="F41" s="143"/>
      <c r="G41" s="143"/>
      <c r="H41" s="143"/>
      <c r="I41" s="143"/>
      <c r="J41" s="860"/>
      <c r="K41" s="391"/>
      <c r="R41"/>
      <c r="S41"/>
      <c r="T41"/>
      <c r="U41"/>
      <c r="V41"/>
    </row>
    <row r="42" spans="2:22" s="13" customFormat="1" ht="23.25" hidden="1" customHeight="1">
      <c r="B42" s="206"/>
      <c r="C42" s="206"/>
      <c r="D42" s="206"/>
      <c r="E42" s="206"/>
      <c r="F42" s="143"/>
      <c r="G42" s="143"/>
      <c r="H42" s="143"/>
      <c r="I42" s="143"/>
      <c r="J42" s="860"/>
      <c r="K42" s="391"/>
      <c r="R42"/>
      <c r="S42"/>
      <c r="T42"/>
      <c r="U42"/>
      <c r="V42"/>
    </row>
    <row r="43" spans="2:22" s="13" customFormat="1" ht="10.5" hidden="1" customHeight="1">
      <c r="B43" s="491"/>
      <c r="C43" s="267"/>
      <c r="D43" s="267"/>
      <c r="E43" s="267"/>
      <c r="F43" s="267"/>
      <c r="G43" s="267"/>
      <c r="H43" s="267"/>
      <c r="I43" s="267"/>
      <c r="J43" s="860"/>
      <c r="K43" s="391"/>
      <c r="R43"/>
      <c r="S43"/>
      <c r="T43"/>
      <c r="U43"/>
      <c r="V43"/>
    </row>
    <row r="44" spans="2:22" s="13" customFormat="1" ht="61.5" customHeight="1">
      <c r="B44" s="1605" t="str">
        <f>"របាយការណ៍ស្តុកសរុប"&amp;$N$3</f>
        <v>របាយការណ៍ស្តុកសរុប2026</v>
      </c>
      <c r="C44" s="1605"/>
      <c r="D44" s="1605"/>
      <c r="E44" s="1605"/>
      <c r="F44" s="1605"/>
      <c r="G44" s="1605"/>
      <c r="H44" s="1605"/>
      <c r="I44" s="1605"/>
      <c r="J44" s="860"/>
      <c r="K44" s="391"/>
      <c r="R44"/>
      <c r="S44"/>
      <c r="T44"/>
      <c r="U44"/>
      <c r="V44"/>
    </row>
    <row r="45" spans="2:22" s="13" customFormat="1" ht="36.75" customHeight="1">
      <c r="B45" s="1604" t="str">
        <f>"ចាប់ពីខែ ( "&amp;$N$5&amp;" - "&amp;DAY($O$4)&amp;"/"&amp;$M$3&amp;"/"&amp;YEAR($O$4)&amp;" )"</f>
        <v>ចាប់ពីខែ ( 01/01/2026 - 31/03/2026 )</v>
      </c>
      <c r="C45" s="1604"/>
      <c r="D45" s="1604"/>
      <c r="E45" s="1604"/>
      <c r="F45" s="1604"/>
      <c r="G45" s="1604"/>
      <c r="H45" s="1604"/>
      <c r="I45" s="1604"/>
      <c r="J45" s="860"/>
      <c r="K45" s="391"/>
      <c r="R45"/>
      <c r="S45"/>
      <c r="T45"/>
      <c r="U45"/>
      <c r="V45"/>
    </row>
    <row r="46" spans="2:22" s="13" customFormat="1" ht="25.5">
      <c r="B46" s="532" t="s">
        <v>59</v>
      </c>
      <c r="C46" s="532" t="s">
        <v>130</v>
      </c>
      <c r="D46" s="532" t="s">
        <v>74</v>
      </c>
      <c r="E46" s="532" t="s">
        <v>75</v>
      </c>
      <c r="F46" s="532" t="str">
        <f>"ស្តុកចុងឆ្នាំ"&amp;N3-1</f>
        <v>ស្តុកចុងឆ្នាំ2025</v>
      </c>
      <c r="G46" s="532" t="s">
        <v>305</v>
      </c>
      <c r="H46" s="532" t="s">
        <v>306</v>
      </c>
      <c r="I46" s="532" t="s">
        <v>131</v>
      </c>
      <c r="J46" s="865" t="s">
        <v>314</v>
      </c>
      <c r="K46" s="391"/>
      <c r="R46"/>
      <c r="S46"/>
      <c r="T46"/>
      <c r="U46"/>
      <c r="V46"/>
    </row>
    <row r="47" spans="2:22" s="13" customFormat="1" ht="20.25" customHeight="1">
      <c r="B47" s="533" t="s">
        <v>11</v>
      </c>
      <c r="C47" s="533" t="s">
        <v>132</v>
      </c>
      <c r="D47" s="533" t="s">
        <v>92</v>
      </c>
      <c r="E47" s="533" t="s">
        <v>15</v>
      </c>
      <c r="F47" s="533" t="s">
        <v>133</v>
      </c>
      <c r="G47" s="533" t="s">
        <v>134</v>
      </c>
      <c r="H47" s="533" t="s">
        <v>247</v>
      </c>
      <c r="I47" s="533" t="s">
        <v>135</v>
      </c>
      <c r="J47" s="866" t="s">
        <v>315</v>
      </c>
      <c r="K47" s="391"/>
      <c r="R47"/>
      <c r="S47"/>
      <c r="T47"/>
      <c r="U47"/>
      <c r="V47"/>
    </row>
    <row r="48" spans="2:22" s="13" customFormat="1" ht="25.5">
      <c r="B48" s="511">
        <v>1</v>
      </c>
      <c r="C48" s="530" t="str">
        <f t="shared" ref="C48:C57" si="5">IFERROR(IF(D48&lt;&gt;"",VLOOKUP(MID(D48,1,2),product_list,2,FALSE),""),"")</f>
        <v/>
      </c>
      <c r="D48" s="531" t="s">
        <v>1932</v>
      </c>
      <c r="E48" s="1033" t="str">
        <f t="shared" ref="E48:E60" si="6">IF(D48="","",MID(VLOOKUP(MID(D48,1,5)*1,product_list,11,FALSE),5,50))</f>
        <v>Case/6boxs</v>
      </c>
      <c r="F48" s="511" t="e">
        <f>IF(OR(C48="",SUMIFS(#REF!,#REF!,C48,#REF!,"&gt;="&amp;$P$3,#REF!,"&lt;="&amp;$P$5,#REF!,"=1")-(SUMIFS(SalesByItemData!$I$3:$I$4995,SalesByItemData!$G$3:$G$4995,C48,SalesByItemData!$E$3:$E$4995,"&gt;="&amp;$P$3,SalesByItemData!$E$3:$E$4995,"&lt;="&amp;$P$5,SalesByItemData!$X$3:$X$4995,"=1")+SUMIFS(SalesByItemData!$J$3:$J$4995,SalesByItemData!$G$3:$G$4995,C48,SalesByItemData!$E$3:$E$4995,"&gt;="&amp;$P$3,SalesByItemData!$E$3:$E$4995,"&lt;="&amp;$P$5,SalesByItemData!$X$3:$X$4995,"&gt;0"))=""),"",SUMIFS(#REF!,#REF!,C48,#REF!,"&gt;="&amp;$P$3,#REF!,"&lt;="&amp;$P$5,#REF!,"=1")-(SUMIFS(SalesByItemData!$I$3:$I$4995,SalesByItemData!$G$3:$G$4995,C48,SalesByItemData!$E$3:$E$4995,"&gt;="&amp;$P$3,SalesByItemData!$E$3:$E$4995,"&lt;="&amp;$P$5,SalesByItemData!$X$3:$X$4995,"=1")+SUMIFS(SalesByItemData!$J$3:$J$4995,SalesByItemData!$G$3:$G$4995,C48,SalesByItemData!$E$3:$E$4995,"&gt;="&amp;$P$3,SalesByItemData!$E$3:$E$4995,"&lt;="&amp;$P$5,SalesByItemData!$X$3:$X$4995,"&gt;0")))</f>
        <v>#REF!</v>
      </c>
      <c r="G48" s="511" t="e">
        <f>SUMIFS(#REF!,#REF!,C48,#REF!,$N$3)</f>
        <v>#REF!</v>
      </c>
      <c r="H48" s="511">
        <f>SUMIFS(SalesByItemData!$I$3:$I$4995,SalesByItemData!$G$3:$G$4995,C48,SalesByItemData!$W$3:$W$4995,$N$3,SalesByItemData!$A$3:$A$4995,"&gt;0")+SUMIFS(SalesByItemData!$J$3:$J$4995,SalesByItemData!$G$3:$G$4995,C48,SalesByItemData!$W$3:$W$4995,$N$3,SalesByItemData!$A$3:$A$4995,"&gt;0",SalesByItemData!$X$3:$X$4995,"&gt;0")</f>
        <v>0</v>
      </c>
      <c r="I48" s="511" t="e">
        <f>IF((N(F48)+N(G48)-N(H48))=0,"",N(F48)+N(G48)-N(H48))</f>
        <v>#REF!</v>
      </c>
      <c r="J48" s="860"/>
      <c r="K48" s="126"/>
      <c r="L48" s="128"/>
      <c r="M48" s="126"/>
      <c r="R48"/>
      <c r="S48"/>
      <c r="T48"/>
      <c r="U48"/>
      <c r="V48"/>
    </row>
    <row r="49" spans="2:22" s="13" customFormat="1" ht="25.5">
      <c r="B49" s="511">
        <v>2</v>
      </c>
      <c r="C49" s="530" t="str">
        <f t="shared" si="5"/>
        <v/>
      </c>
      <c r="D49" s="531" t="s">
        <v>1932</v>
      </c>
      <c r="E49" s="1033" t="str">
        <f t="shared" si="6"/>
        <v>Case/6boxs</v>
      </c>
      <c r="F49" s="511" t="e">
        <f>IF(OR(C49="",SUMIFS(#REF!,#REF!,C49,#REF!,"&gt;="&amp;$P$3,#REF!,"&lt;="&amp;$P$5,#REF!,"=1")-(SUMIFS(SalesByItemData!$I$3:$I$4995,SalesByItemData!$G$3:$G$4995,C49,SalesByItemData!$E$3:$E$4995,"&gt;="&amp;$P$3,SalesByItemData!$E$3:$E$4995,"&lt;="&amp;$P$5,SalesByItemData!$X$3:$X$4995,"=1")+SUMIFS(SalesByItemData!$J$3:$J$4995,SalesByItemData!$G$3:$G$4995,C49,SalesByItemData!$E$3:$E$4995,"&gt;="&amp;$P$3,SalesByItemData!$E$3:$E$4995,"&lt;="&amp;$P$5,SalesByItemData!$X$3:$X$4995,"&gt;0"))=""),"",SUMIFS(#REF!,#REF!,C49,#REF!,"&gt;="&amp;$P$3,#REF!,"&lt;="&amp;$P$5,#REF!,"=1")-(SUMIFS(SalesByItemData!$I$3:$I$4995,SalesByItemData!$G$3:$G$4995,C49,SalesByItemData!$E$3:$E$4995,"&gt;="&amp;$P$3,SalesByItemData!$E$3:$E$4995,"&lt;="&amp;$P$5,SalesByItemData!$X$3:$X$4995,"=1")+SUMIFS(SalesByItemData!$J$3:$J$4995,SalesByItemData!$G$3:$G$4995,C49,SalesByItemData!$E$3:$E$4995,"&gt;="&amp;$P$3,SalesByItemData!$E$3:$E$4995,"&lt;="&amp;$P$5,SalesByItemData!$X$3:$X$4995,"&gt;0")))</f>
        <v>#REF!</v>
      </c>
      <c r="G49" s="511" t="e">
        <f>SUMIFS(#REF!,#REF!,C49,#REF!,$N$3)</f>
        <v>#REF!</v>
      </c>
      <c r="H49" s="511">
        <f>SUMIFS(SalesByItemData!$I$3:$I$4995,SalesByItemData!$G$3:$G$4995,C49,SalesByItemData!$W$3:$W$4995,$N$3,SalesByItemData!$A$3:$A$4995,"&gt;0")+SUMIFS(SalesByItemData!$J$3:$J$4995,SalesByItemData!$G$3:$G$4995,C49,SalesByItemData!$W$3:$W$4995,$N$3,SalesByItemData!$A$3:$A$4995,"&gt;0",SalesByItemData!$X$3:$X$4995,"&gt;0")</f>
        <v>0</v>
      </c>
      <c r="I49" s="511" t="e">
        <f t="shared" ref="I49:I60" si="7">IF((N(F49)+N(G49)-N(H49))=0,"",N(F49)+N(G49)-N(H49))</f>
        <v>#REF!</v>
      </c>
      <c r="J49" s="860"/>
      <c r="K49" s="126"/>
      <c r="L49" s="128"/>
      <c r="M49" s="126"/>
      <c r="R49"/>
      <c r="S49"/>
      <c r="T49"/>
      <c r="U49"/>
      <c r="V49"/>
    </row>
    <row r="50" spans="2:22" s="13" customFormat="1" ht="25.5">
      <c r="B50" s="511">
        <v>3</v>
      </c>
      <c r="C50" s="530" t="str">
        <f t="shared" si="5"/>
        <v/>
      </c>
      <c r="D50" s="531" t="s">
        <v>1932</v>
      </c>
      <c r="E50" s="1033" t="str">
        <f t="shared" si="6"/>
        <v>Case/6boxs</v>
      </c>
      <c r="F50" s="511" t="e">
        <f>IF(OR(C50="",SUMIFS(#REF!,#REF!,C50,#REF!,"&gt;="&amp;$P$3,#REF!,"&lt;="&amp;$P$5,#REF!,"=1")-(SUMIFS(SalesByItemData!$I$3:$I$4995,SalesByItemData!$G$3:$G$4995,C50,SalesByItemData!$E$3:$E$4995,"&gt;="&amp;$P$3,SalesByItemData!$E$3:$E$4995,"&lt;="&amp;$P$5,SalesByItemData!$X$3:$X$4995,"=1")+SUMIFS(SalesByItemData!$J$3:$J$4995,SalesByItemData!$G$3:$G$4995,C50,SalesByItemData!$E$3:$E$4995,"&gt;="&amp;$P$3,SalesByItemData!$E$3:$E$4995,"&lt;="&amp;$P$5,SalesByItemData!$X$3:$X$4995,"&gt;0"))=""),"",SUMIFS(#REF!,#REF!,C50,#REF!,"&gt;="&amp;$P$3,#REF!,"&lt;="&amp;$P$5,#REF!,"=1")-(SUMIFS(SalesByItemData!$I$3:$I$4995,SalesByItemData!$G$3:$G$4995,C50,SalesByItemData!$E$3:$E$4995,"&gt;="&amp;$P$3,SalesByItemData!$E$3:$E$4995,"&lt;="&amp;$P$5,SalesByItemData!$X$3:$X$4995,"=1")+SUMIFS(SalesByItemData!$J$3:$J$4995,SalesByItemData!$G$3:$G$4995,C50,SalesByItemData!$E$3:$E$4995,"&gt;="&amp;$P$3,SalesByItemData!$E$3:$E$4995,"&lt;="&amp;$P$5,SalesByItemData!$X$3:$X$4995,"&gt;0")))</f>
        <v>#REF!</v>
      </c>
      <c r="G50" s="511" t="e">
        <f>SUMIFS(#REF!,#REF!,C50,#REF!,$N$3)</f>
        <v>#REF!</v>
      </c>
      <c r="H50" s="511">
        <f>SUMIFS(SalesByItemData!$I$3:$I$4995,SalesByItemData!$G$3:$G$4995,C50,SalesByItemData!$W$3:$W$4995,$N$3,SalesByItemData!$A$3:$A$4995,"&gt;0")+SUMIFS(SalesByItemData!$J$3:$J$4995,SalesByItemData!$G$3:$G$4995,C50,SalesByItemData!$W$3:$W$4995,$N$3,SalesByItemData!$A$3:$A$4995,"&gt;0",SalesByItemData!$X$3:$X$4995,"&gt;0")</f>
        <v>0</v>
      </c>
      <c r="I50" s="511" t="e">
        <f t="shared" si="7"/>
        <v>#REF!</v>
      </c>
      <c r="J50" s="860"/>
      <c r="K50" s="126"/>
      <c r="L50" s="128"/>
      <c r="M50" s="126"/>
      <c r="R50"/>
      <c r="S50"/>
      <c r="T50"/>
      <c r="U50"/>
      <c r="V50"/>
    </row>
    <row r="51" spans="2:22" s="13" customFormat="1" ht="25.5">
      <c r="B51" s="511">
        <v>4</v>
      </c>
      <c r="C51" s="530" t="str">
        <f t="shared" si="5"/>
        <v/>
      </c>
      <c r="D51" s="531" t="s">
        <v>1932</v>
      </c>
      <c r="E51" s="1033" t="str">
        <f t="shared" si="6"/>
        <v>Case/6boxs</v>
      </c>
      <c r="F51" s="511" t="e">
        <f>IF(OR(C51="",SUMIFS(#REF!,#REF!,C51,#REF!,"&gt;="&amp;$P$3,#REF!,"&lt;="&amp;$P$5,#REF!,"=1")-(SUMIFS(SalesByItemData!$I$3:$I$4995,SalesByItemData!$G$3:$G$4995,C51,SalesByItemData!$E$3:$E$4995,"&gt;="&amp;$P$3,SalesByItemData!$E$3:$E$4995,"&lt;="&amp;$P$5,SalesByItemData!$X$3:$X$4995,"=1")+SUMIFS(SalesByItemData!$J$3:$J$4995,SalesByItemData!$G$3:$G$4995,C51,SalesByItemData!$E$3:$E$4995,"&gt;="&amp;$P$3,SalesByItemData!$E$3:$E$4995,"&lt;="&amp;$P$5,SalesByItemData!$X$3:$X$4995,"&gt;0"))=""),"",SUMIFS(#REF!,#REF!,C51,#REF!,"&gt;="&amp;$P$3,#REF!,"&lt;="&amp;$P$5,#REF!,"=1")-(SUMIFS(SalesByItemData!$I$3:$I$4995,SalesByItemData!$G$3:$G$4995,C51,SalesByItemData!$E$3:$E$4995,"&gt;="&amp;$P$3,SalesByItemData!$E$3:$E$4995,"&lt;="&amp;$P$5,SalesByItemData!$X$3:$X$4995,"=1")+SUMIFS(SalesByItemData!$J$3:$J$4995,SalesByItemData!$G$3:$G$4995,C51,SalesByItemData!$E$3:$E$4995,"&gt;="&amp;$P$3,SalesByItemData!$E$3:$E$4995,"&lt;="&amp;$P$5,SalesByItemData!$X$3:$X$4995,"&gt;0")))</f>
        <v>#REF!</v>
      </c>
      <c r="G51" s="511" t="e">
        <f>SUMIFS(#REF!,#REF!,C51,#REF!,$N$3)</f>
        <v>#REF!</v>
      </c>
      <c r="H51" s="511">
        <f>SUMIFS(SalesByItemData!$I$3:$I$4995,SalesByItemData!$G$3:$G$4995,C51,SalesByItemData!$W$3:$W$4995,$N$3,SalesByItemData!$A$3:$A$4995,"&gt;0")+SUMIFS(SalesByItemData!$J$3:$J$4995,SalesByItemData!$G$3:$G$4995,C51,SalesByItemData!$W$3:$W$4995,$N$3,SalesByItemData!$A$3:$A$4995,"&gt;0",SalesByItemData!$X$3:$X$4995,"&gt;0")</f>
        <v>0</v>
      </c>
      <c r="I51" s="511" t="e">
        <f t="shared" si="7"/>
        <v>#REF!</v>
      </c>
      <c r="J51" s="860"/>
      <c r="K51" s="126"/>
      <c r="L51" s="128"/>
      <c r="M51" s="126"/>
      <c r="R51"/>
      <c r="S51"/>
      <c r="T51"/>
      <c r="U51"/>
      <c r="V51"/>
    </row>
    <row r="52" spans="2:22" s="13" customFormat="1" ht="25.5" hidden="1" customHeight="1">
      <c r="B52" s="511">
        <v>5</v>
      </c>
      <c r="C52" s="530" t="str">
        <f t="shared" si="5"/>
        <v/>
      </c>
      <c r="D52" s="531" t="s">
        <v>1932</v>
      </c>
      <c r="E52" s="1033" t="str">
        <f t="shared" si="6"/>
        <v>Case/6boxs</v>
      </c>
      <c r="F52" s="511" t="e">
        <f>IF(OR(C52="",SUMIFS(#REF!,#REF!,C52,#REF!,"&gt;="&amp;$P$3,#REF!,"&lt;="&amp;$P$5,#REF!,"=1")-(SUMIFS(SalesByItemData!$I$3:$I$4995,SalesByItemData!$G$3:$G$4995,C52,SalesByItemData!$E$3:$E$4995,"&gt;="&amp;$P$3,SalesByItemData!$E$3:$E$4995,"&lt;="&amp;$P$5,SalesByItemData!$X$3:$X$4995,"=1")+SUMIFS(SalesByItemData!$J$3:$J$4995,SalesByItemData!$G$3:$G$4995,C52,SalesByItemData!$E$3:$E$4995,"&gt;="&amp;$P$3,SalesByItemData!$E$3:$E$4995,"&lt;="&amp;$P$5,SalesByItemData!$X$3:$X$4995,"&gt;0"))=""),"",SUMIFS(#REF!,#REF!,C52,#REF!,"&gt;="&amp;$P$3,#REF!,"&lt;="&amp;$P$5,#REF!,"=1")-(SUMIFS(SalesByItemData!$I$3:$I$4995,SalesByItemData!$G$3:$G$4995,C52,SalesByItemData!$E$3:$E$4995,"&gt;="&amp;$P$3,SalesByItemData!$E$3:$E$4995,"&lt;="&amp;$P$5,SalesByItemData!$X$3:$X$4995,"=1")+SUMIFS(SalesByItemData!$J$3:$J$4995,SalesByItemData!$G$3:$G$4995,C52,SalesByItemData!$E$3:$E$4995,"&gt;="&amp;$P$3,SalesByItemData!$E$3:$E$4995,"&lt;="&amp;$P$5,SalesByItemData!$X$3:$X$4995,"&gt;0")))</f>
        <v>#REF!</v>
      </c>
      <c r="G52" s="511" t="e">
        <f>SUMIFS(#REF!,#REF!,C52,#REF!,$N$3)</f>
        <v>#REF!</v>
      </c>
      <c r="H52" s="511">
        <f>SUMIFS(SalesByItemData!$I$3:$I$4995,SalesByItemData!$G$3:$G$4995,C52,SalesByItemData!$W$3:$W$4995,$N$3,SalesByItemData!$A$3:$A$4995,"&gt;0")+SUMIFS(SalesByItemData!$J$3:$J$4995,SalesByItemData!$G$3:$G$4995,C52,SalesByItemData!$W$3:$W$4995,$N$3,SalesByItemData!$A$3:$A$4995,"&gt;0",SalesByItemData!$X$3:$X$4995,"&gt;0")</f>
        <v>0</v>
      </c>
      <c r="I52" s="511" t="e">
        <f t="shared" si="7"/>
        <v>#REF!</v>
      </c>
      <c r="J52" s="860"/>
      <c r="K52" s="126"/>
      <c r="L52" s="128"/>
      <c r="M52" s="126"/>
      <c r="R52"/>
      <c r="S52"/>
      <c r="T52"/>
      <c r="U52"/>
      <c r="V52"/>
    </row>
    <row r="53" spans="2:22" s="13" customFormat="1" ht="25.5">
      <c r="B53" s="511">
        <v>5</v>
      </c>
      <c r="C53" s="530" t="str">
        <f t="shared" si="5"/>
        <v/>
      </c>
      <c r="D53" s="531" t="s">
        <v>1932</v>
      </c>
      <c r="E53" s="1033" t="str">
        <f t="shared" si="6"/>
        <v>Case/6boxs</v>
      </c>
      <c r="F53" s="511" t="e">
        <f>IF(OR(C53="",SUMIFS(#REF!,#REF!,C53,#REF!,"&gt;="&amp;$P$3,#REF!,"&lt;="&amp;$P$5,#REF!,"=1")-(SUMIFS(SalesByItemData!$I$3:$I$4995,SalesByItemData!$G$3:$G$4995,C53,SalesByItemData!$E$3:$E$4995,"&gt;="&amp;$P$3,SalesByItemData!$E$3:$E$4995,"&lt;="&amp;$P$5,SalesByItemData!$X$3:$X$4995,"=1")+SUMIFS(SalesByItemData!$J$3:$J$4995,SalesByItemData!$G$3:$G$4995,C53,SalesByItemData!$E$3:$E$4995,"&gt;="&amp;$P$3,SalesByItemData!$E$3:$E$4995,"&lt;="&amp;$P$5,SalesByItemData!$X$3:$X$4995,"&gt;0"))=""),"",SUMIFS(#REF!,#REF!,C53,#REF!,"&gt;="&amp;$P$3,#REF!,"&lt;="&amp;$P$5,#REF!,"=1")-(SUMIFS(SalesByItemData!$I$3:$I$4995,SalesByItemData!$G$3:$G$4995,C53,SalesByItemData!$E$3:$E$4995,"&gt;="&amp;$P$3,SalesByItemData!$E$3:$E$4995,"&lt;="&amp;$P$5,SalesByItemData!$X$3:$X$4995,"=1")+SUMIFS(SalesByItemData!$J$3:$J$4995,SalesByItemData!$G$3:$G$4995,C53,SalesByItemData!$E$3:$E$4995,"&gt;="&amp;$P$3,SalesByItemData!$E$3:$E$4995,"&lt;="&amp;$P$5,SalesByItemData!$X$3:$X$4995,"&gt;0")))</f>
        <v>#REF!</v>
      </c>
      <c r="G53" s="511" t="e">
        <f>SUMIFS(#REF!,#REF!,C53,#REF!,$N$3)</f>
        <v>#REF!</v>
      </c>
      <c r="H53" s="511">
        <f>SUMIFS(SalesByItemData!$I$3:$I$4995,SalesByItemData!$G$3:$G$4995,C53,SalesByItemData!$W$3:$W$4995,$N$3,SalesByItemData!$A$3:$A$4995,"&gt;0")+SUMIFS(SalesByItemData!$J$3:$J$4995,SalesByItemData!$G$3:$G$4995,C53,SalesByItemData!$W$3:$W$4995,$N$3,SalesByItemData!$A$3:$A$4995,"&gt;0",SalesByItemData!$X$3:$X$4995,"&gt;0")</f>
        <v>0</v>
      </c>
      <c r="I53" s="511" t="e">
        <f t="shared" si="7"/>
        <v>#REF!</v>
      </c>
      <c r="J53" s="860"/>
      <c r="K53" s="126"/>
      <c r="L53" s="128"/>
      <c r="M53" s="126"/>
      <c r="R53"/>
      <c r="S53"/>
      <c r="T53"/>
      <c r="U53"/>
      <c r="V53"/>
    </row>
    <row r="54" spans="2:22" s="13" customFormat="1" ht="25.5">
      <c r="B54" s="511">
        <v>6</v>
      </c>
      <c r="C54" s="530" t="str">
        <f t="shared" si="5"/>
        <v/>
      </c>
      <c r="D54" s="531" t="s">
        <v>1932</v>
      </c>
      <c r="E54" s="1033" t="str">
        <f t="shared" si="6"/>
        <v>Case/6boxs</v>
      </c>
      <c r="F54" s="511" t="e">
        <f>IF(OR(C54="",SUMIFS(#REF!,#REF!,C54,#REF!,"&gt;="&amp;$P$3,#REF!,"&lt;="&amp;$P$5,#REF!,"=1")-(SUMIFS(SalesByItemData!$I$3:$I$4995,SalesByItemData!$G$3:$G$4995,C54,SalesByItemData!$E$3:$E$4995,"&gt;="&amp;$P$3,SalesByItemData!$E$3:$E$4995,"&lt;="&amp;$P$5,SalesByItemData!$X$3:$X$4995,"=1")+SUMIFS(SalesByItemData!$J$3:$J$4995,SalesByItemData!$G$3:$G$4995,C54,SalesByItemData!$E$3:$E$4995,"&gt;="&amp;$P$3,SalesByItemData!$E$3:$E$4995,"&lt;="&amp;$P$5,SalesByItemData!$X$3:$X$4995,"&gt;0"))=""),"",SUMIFS(#REF!,#REF!,C54,#REF!,"&gt;="&amp;$P$3,#REF!,"&lt;="&amp;$P$5,#REF!,"=1")-(SUMIFS(SalesByItemData!$I$3:$I$4995,SalesByItemData!$G$3:$G$4995,C54,SalesByItemData!$E$3:$E$4995,"&gt;="&amp;$P$3,SalesByItemData!$E$3:$E$4995,"&lt;="&amp;$P$5,SalesByItemData!$X$3:$X$4995,"=1")+SUMIFS(SalesByItemData!$J$3:$J$4995,SalesByItemData!$G$3:$G$4995,C54,SalesByItemData!$E$3:$E$4995,"&gt;="&amp;$P$3,SalesByItemData!$E$3:$E$4995,"&lt;="&amp;$P$5,SalesByItemData!$X$3:$X$4995,"&gt;0")))</f>
        <v>#REF!</v>
      </c>
      <c r="G54" s="511" t="e">
        <f>SUMIFS(#REF!,#REF!,C54,#REF!,$N$3)</f>
        <v>#REF!</v>
      </c>
      <c r="H54" s="511">
        <f>SUMIFS(SalesByItemData!$I$3:$I$4995,SalesByItemData!$G$3:$G$4995,C54,SalesByItemData!$W$3:$W$4995,$N$3,SalesByItemData!$A$3:$A$4995,"&gt;0")+SUMIFS(SalesByItemData!$J$3:$J$4995,SalesByItemData!$G$3:$G$4995,C54,SalesByItemData!$W$3:$W$4995,$N$3,SalesByItemData!$A$3:$A$4995,"&gt;0",SalesByItemData!$X$3:$X$4995,"&gt;0")</f>
        <v>0</v>
      </c>
      <c r="I54" s="511" t="e">
        <f t="shared" si="7"/>
        <v>#REF!</v>
      </c>
      <c r="J54" s="860"/>
      <c r="K54" s="126"/>
      <c r="L54" s="128"/>
      <c r="M54" s="126"/>
      <c r="R54"/>
      <c r="S54"/>
      <c r="T54"/>
      <c r="U54"/>
      <c r="V54"/>
    </row>
    <row r="55" spans="2:22" s="13" customFormat="1" ht="25.5">
      <c r="B55" s="511">
        <v>7</v>
      </c>
      <c r="C55" s="530" t="str">
        <f t="shared" si="5"/>
        <v/>
      </c>
      <c r="D55" s="531" t="s">
        <v>1932</v>
      </c>
      <c r="E55" s="1033" t="str">
        <f t="shared" si="6"/>
        <v>Case/6boxs</v>
      </c>
      <c r="F55" s="511" t="e">
        <f>IF(OR(C55="",SUMIFS(#REF!,#REF!,C55,#REF!,"&gt;="&amp;$P$3,#REF!,"&lt;="&amp;$P$5,#REF!,"=1")-(SUMIFS(SalesByItemData!$I$3:$I$4995,SalesByItemData!$G$3:$G$4995,C55,SalesByItemData!$E$3:$E$4995,"&gt;="&amp;$P$3,SalesByItemData!$E$3:$E$4995,"&lt;="&amp;$P$5,SalesByItemData!$X$3:$X$4995,"=1")+SUMIFS(SalesByItemData!$J$3:$J$4995,SalesByItemData!$G$3:$G$4995,C55,SalesByItemData!$E$3:$E$4995,"&gt;="&amp;$P$3,SalesByItemData!$E$3:$E$4995,"&lt;="&amp;$P$5,SalesByItemData!$X$3:$X$4995,"&gt;0"))=""),"",SUMIFS(#REF!,#REF!,C55,#REF!,"&gt;="&amp;$P$3,#REF!,"&lt;="&amp;$P$5,#REF!,"=1")-(SUMIFS(SalesByItemData!$I$3:$I$4995,SalesByItemData!$G$3:$G$4995,C55,SalesByItemData!$E$3:$E$4995,"&gt;="&amp;$P$3,SalesByItemData!$E$3:$E$4995,"&lt;="&amp;$P$5,SalesByItemData!$X$3:$X$4995,"=1")+SUMIFS(SalesByItemData!$J$3:$J$4995,SalesByItemData!$G$3:$G$4995,C55,SalesByItemData!$E$3:$E$4995,"&gt;="&amp;$P$3,SalesByItemData!$E$3:$E$4995,"&lt;="&amp;$P$5,SalesByItemData!$X$3:$X$4995,"&gt;0")))</f>
        <v>#REF!</v>
      </c>
      <c r="G55" s="511" t="e">
        <f>SUMIFS(#REF!,#REF!,C55,#REF!,$N$3)</f>
        <v>#REF!</v>
      </c>
      <c r="H55" s="511">
        <f>SUMIFS(SalesByItemData!$I$3:$I$4995,SalesByItemData!$G$3:$G$4995,C55,SalesByItemData!$W$3:$W$4995,$N$3,SalesByItemData!$A$3:$A$4995,"&gt;0")+SUMIFS(SalesByItemData!$J$3:$J$4995,SalesByItemData!$G$3:$G$4995,C55,SalesByItemData!$W$3:$W$4995,$N$3,SalesByItemData!$A$3:$A$4995,"&gt;0",SalesByItemData!$X$3:$X$4995,"&gt;0")</f>
        <v>0</v>
      </c>
      <c r="I55" s="511" t="e">
        <f t="shared" si="7"/>
        <v>#REF!</v>
      </c>
      <c r="J55" s="860"/>
      <c r="K55" s="126"/>
      <c r="L55" s="128"/>
      <c r="M55" s="126"/>
      <c r="R55"/>
      <c r="S55"/>
      <c r="T55"/>
      <c r="U55"/>
      <c r="V55"/>
    </row>
    <row r="56" spans="2:22" s="13" customFormat="1" ht="25.5">
      <c r="B56" s="511">
        <v>8</v>
      </c>
      <c r="C56" s="530" t="str">
        <f t="shared" si="5"/>
        <v/>
      </c>
      <c r="D56" s="531" t="s">
        <v>1932</v>
      </c>
      <c r="E56" s="1033" t="str">
        <f t="shared" si="6"/>
        <v>Case/6boxs</v>
      </c>
      <c r="F56" s="511" t="e">
        <f>IF(OR(C56="",SUMIFS(#REF!,#REF!,C56,#REF!,"&gt;="&amp;$P$3,#REF!,"&lt;="&amp;$P$5,#REF!,"=1")-(SUMIFS(SalesByItemData!$I$3:$I$4995,SalesByItemData!$G$3:$G$4995,C56,SalesByItemData!$E$3:$E$4995,"&gt;="&amp;$P$3,SalesByItemData!$E$3:$E$4995,"&lt;="&amp;$P$5,SalesByItemData!$X$3:$X$4995,"=1")+SUMIFS(SalesByItemData!$J$3:$J$4995,SalesByItemData!$G$3:$G$4995,C56,SalesByItemData!$E$3:$E$4995,"&gt;="&amp;$P$3,SalesByItemData!$E$3:$E$4995,"&lt;="&amp;$P$5,SalesByItemData!$X$3:$X$4995,"&gt;0"))=""),"",SUMIFS(#REF!,#REF!,C56,#REF!,"&gt;="&amp;$P$3,#REF!,"&lt;="&amp;$P$5,#REF!,"=1")-(SUMIFS(SalesByItemData!$I$3:$I$4995,SalesByItemData!$G$3:$G$4995,C56,SalesByItemData!$E$3:$E$4995,"&gt;="&amp;$P$3,SalesByItemData!$E$3:$E$4995,"&lt;="&amp;$P$5,SalesByItemData!$X$3:$X$4995,"=1")+SUMIFS(SalesByItemData!$J$3:$J$4995,SalesByItemData!$G$3:$G$4995,C56,SalesByItemData!$E$3:$E$4995,"&gt;="&amp;$P$3,SalesByItemData!$E$3:$E$4995,"&lt;="&amp;$P$5,SalesByItemData!$X$3:$X$4995,"&gt;0")))</f>
        <v>#REF!</v>
      </c>
      <c r="G56" s="511" t="e">
        <f>SUMIFS(#REF!,#REF!,C56,#REF!,$N$3)</f>
        <v>#REF!</v>
      </c>
      <c r="H56" s="511">
        <f>SUMIFS(SalesByItemData!$I$3:$I$4995,SalesByItemData!$G$3:$G$4995,C56,SalesByItemData!$W$3:$W$4995,$N$3,SalesByItemData!$A$3:$A$4995,"&gt;0")+SUMIFS(SalesByItemData!$J$3:$J$4995,SalesByItemData!$G$3:$G$4995,C56,SalesByItemData!$W$3:$W$4995,$N$3,SalesByItemData!$A$3:$A$4995,"&gt;0",SalesByItemData!$X$3:$X$4995,"&gt;0")</f>
        <v>0</v>
      </c>
      <c r="I56" s="511" t="e">
        <f t="shared" si="7"/>
        <v>#REF!</v>
      </c>
      <c r="J56" s="860"/>
      <c r="K56" s="126"/>
      <c r="L56" s="128"/>
      <c r="M56" s="126"/>
      <c r="R56"/>
      <c r="S56"/>
      <c r="T56"/>
      <c r="U56"/>
      <c r="V56"/>
    </row>
    <row r="57" spans="2:22" s="13" customFormat="1" ht="25.5">
      <c r="B57" s="511">
        <v>9</v>
      </c>
      <c r="C57" s="530" t="str">
        <f t="shared" si="5"/>
        <v/>
      </c>
      <c r="D57" s="531" t="s">
        <v>1932</v>
      </c>
      <c r="E57" s="1033" t="str">
        <f t="shared" si="6"/>
        <v>Case/6boxs</v>
      </c>
      <c r="F57" s="511" t="e">
        <f>IF(OR(C57="",SUMIFS(#REF!,#REF!,C57,#REF!,"&gt;="&amp;$P$3,#REF!,"&lt;="&amp;$P$5,#REF!,"=1")-(SUMIFS(SalesByItemData!$I$3:$I$4995,SalesByItemData!$G$3:$G$4995,C57,SalesByItemData!$E$3:$E$4995,"&gt;="&amp;$P$3,SalesByItemData!$E$3:$E$4995,"&lt;="&amp;$P$5,SalesByItemData!$X$3:$X$4995,"=1")+SUMIFS(SalesByItemData!$J$3:$J$4995,SalesByItemData!$G$3:$G$4995,C57,SalesByItemData!$E$3:$E$4995,"&gt;="&amp;$P$3,SalesByItemData!$E$3:$E$4995,"&lt;="&amp;$P$5,SalesByItemData!$X$3:$X$4995,"&gt;0"))=""),"",SUMIFS(#REF!,#REF!,C57,#REF!,"&gt;="&amp;$P$3,#REF!,"&lt;="&amp;$P$5,#REF!,"=1")-(SUMIFS(SalesByItemData!$I$3:$I$4995,SalesByItemData!$G$3:$G$4995,C57,SalesByItemData!$E$3:$E$4995,"&gt;="&amp;$P$3,SalesByItemData!$E$3:$E$4995,"&lt;="&amp;$P$5,SalesByItemData!$X$3:$X$4995,"=1")+SUMIFS(SalesByItemData!$J$3:$J$4995,SalesByItemData!$G$3:$G$4995,C57,SalesByItemData!$E$3:$E$4995,"&gt;="&amp;$P$3,SalesByItemData!$E$3:$E$4995,"&lt;="&amp;$P$5,SalesByItemData!$X$3:$X$4995,"&gt;0")))</f>
        <v>#REF!</v>
      </c>
      <c r="G57" s="511" t="e">
        <f>SUMIFS(#REF!,#REF!,C57,#REF!,$N$3)</f>
        <v>#REF!</v>
      </c>
      <c r="H57" s="511">
        <f>SUMIFS(SalesByItemData!$I$3:$I$4995,SalesByItemData!$G$3:$G$4995,C57,SalesByItemData!$W$3:$W$4995,$N$3,SalesByItemData!$A$3:$A$4995,"&gt;0")+SUMIFS(SalesByItemData!$J$3:$J$4995,SalesByItemData!$G$3:$G$4995,C57,SalesByItemData!$W$3:$W$4995,$N$3,SalesByItemData!$A$3:$A$4995,"&gt;0",SalesByItemData!$X$3:$X$4995,"&gt;0")</f>
        <v>0</v>
      </c>
      <c r="I57" s="511" t="e">
        <f t="shared" si="7"/>
        <v>#REF!</v>
      </c>
      <c r="J57" s="860"/>
      <c r="K57" s="126"/>
      <c r="L57" s="128"/>
      <c r="M57" s="126"/>
      <c r="R57"/>
      <c r="S57"/>
      <c r="T57"/>
      <c r="U57"/>
      <c r="V57"/>
    </row>
    <row r="58" spans="2:22" s="13" customFormat="1" ht="25.5">
      <c r="B58" s="511">
        <v>10</v>
      </c>
      <c r="C58" s="530" t="str">
        <f>IFERROR(IF(D58&lt;&gt;"",VLOOKUP(MID(D58,1,2),product_list,2,FALSE),""),"")</f>
        <v/>
      </c>
      <c r="D58" s="531" t="s">
        <v>1932</v>
      </c>
      <c r="E58" s="1033" t="str">
        <f t="shared" si="6"/>
        <v>Case/6boxs</v>
      </c>
      <c r="F58" s="511" t="e">
        <f>IF(OR(C58="",SUMIFS(#REF!,#REF!,C58,#REF!,"&gt;="&amp;$P$3,#REF!,"&lt;="&amp;$P$5,#REF!,"=1")-(SUMIFS(SalesByItemData!$I$3:$I$4995,SalesByItemData!$G$3:$G$4995,C58,SalesByItemData!$E$3:$E$4995,"&gt;="&amp;$P$3,SalesByItemData!$E$3:$E$4995,"&lt;="&amp;$P$5,SalesByItemData!$X$3:$X$4995,"=1")+SUMIFS(SalesByItemData!$J$3:$J$4995,SalesByItemData!$G$3:$G$4995,C58,SalesByItemData!$E$3:$E$4995,"&gt;="&amp;$P$3,SalesByItemData!$E$3:$E$4995,"&lt;="&amp;$P$5,SalesByItemData!$X$3:$X$4995,"&gt;0"))=""),"",SUMIFS(#REF!,#REF!,C58,#REF!,"&gt;="&amp;$P$3,#REF!,"&lt;="&amp;$P$5,#REF!,"=1")-(SUMIFS(SalesByItemData!$I$3:$I$4995,SalesByItemData!$G$3:$G$4995,C58,SalesByItemData!$E$3:$E$4995,"&gt;="&amp;$P$3,SalesByItemData!$E$3:$E$4995,"&lt;="&amp;$P$5,SalesByItemData!$X$3:$X$4995,"=1")+SUMIFS(SalesByItemData!$J$3:$J$4995,SalesByItemData!$G$3:$G$4995,C58,SalesByItemData!$E$3:$E$4995,"&gt;="&amp;$P$3,SalesByItemData!$E$3:$E$4995,"&lt;="&amp;$P$5,SalesByItemData!$X$3:$X$4995,"&gt;0")))</f>
        <v>#REF!</v>
      </c>
      <c r="G58" s="511" t="e">
        <f>SUMIFS(#REF!,#REF!,C58,#REF!,$N$3)</f>
        <v>#REF!</v>
      </c>
      <c r="H58" s="511">
        <f>SUMIFS(SalesByItemData!$I$3:$I$4995,SalesByItemData!$G$3:$G$4995,C58,SalesByItemData!$W$3:$W$4995,$N$3,SalesByItemData!$A$3:$A$4995,"&gt;0")+SUMIFS(SalesByItemData!$J$3:$J$4995,SalesByItemData!$G$3:$G$4995,C58,SalesByItemData!$W$3:$W$4995,$N$3,SalesByItemData!$A$3:$A$4995,"&gt;0",SalesByItemData!$X$3:$X$4995,"&gt;0")</f>
        <v>0</v>
      </c>
      <c r="I58" s="511" t="e">
        <f t="shared" si="7"/>
        <v>#REF!</v>
      </c>
      <c r="J58" s="860"/>
      <c r="K58" s="391"/>
      <c r="R58"/>
      <c r="S58"/>
      <c r="T58"/>
      <c r="U58"/>
      <c r="V58"/>
    </row>
    <row r="59" spans="2:22" s="13" customFormat="1" ht="25.5">
      <c r="B59" s="511">
        <v>11</v>
      </c>
      <c r="C59" s="530" t="str">
        <f>IFERROR(IF(D59&lt;&gt;"",VLOOKUP(MID(D59,1,2),product_list,2,FALSE),""),"")</f>
        <v/>
      </c>
      <c r="D59" s="531" t="s">
        <v>1932</v>
      </c>
      <c r="E59" s="1033" t="str">
        <f t="shared" si="6"/>
        <v>Case/6boxs</v>
      </c>
      <c r="F59" s="511" t="e">
        <f>IF(OR(C59="",SUMIFS(#REF!,#REF!,C59,#REF!,"&gt;="&amp;$P$3,#REF!,"&lt;="&amp;$P$5,#REF!,"=1")-(SUMIFS(SalesByItemData!$I$3:$I$4995,SalesByItemData!$G$3:$G$4995,C59,SalesByItemData!$E$3:$E$4995,"&gt;="&amp;$P$3,SalesByItemData!$E$3:$E$4995,"&lt;="&amp;$P$5,SalesByItemData!$X$3:$X$4995,"=1")+SUMIFS(SalesByItemData!$J$3:$J$4995,SalesByItemData!$G$3:$G$4995,C59,SalesByItemData!$E$3:$E$4995,"&gt;="&amp;$P$3,SalesByItemData!$E$3:$E$4995,"&lt;="&amp;$P$5,SalesByItemData!$X$3:$X$4995,"&gt;0"))=""),"",SUMIFS(#REF!,#REF!,C59,#REF!,"&gt;="&amp;$P$3,#REF!,"&lt;="&amp;$P$5,#REF!,"=1")-(SUMIFS(SalesByItemData!$I$3:$I$4995,SalesByItemData!$G$3:$G$4995,C59,SalesByItemData!$E$3:$E$4995,"&gt;="&amp;$P$3,SalesByItemData!$E$3:$E$4995,"&lt;="&amp;$P$5,SalesByItemData!$X$3:$X$4995,"=1")+SUMIFS(SalesByItemData!$J$3:$J$4995,SalesByItemData!$G$3:$G$4995,C59,SalesByItemData!$E$3:$E$4995,"&gt;="&amp;$P$3,SalesByItemData!$E$3:$E$4995,"&lt;="&amp;$P$5,SalesByItemData!$X$3:$X$4995,"&gt;0")))</f>
        <v>#REF!</v>
      </c>
      <c r="G59" s="511" t="e">
        <f>SUMIFS(#REF!,#REF!,C59,#REF!,$N$3)</f>
        <v>#REF!</v>
      </c>
      <c r="H59" s="511">
        <f>SUMIFS(SalesByItemData!$I$3:$I$4995,SalesByItemData!$G$3:$G$4995,C59,SalesByItemData!$W$3:$W$4995,$N$3,SalesByItemData!$A$3:$A$4995,"&gt;0")+SUMIFS(SalesByItemData!$J$3:$J$4995,SalesByItemData!$G$3:$G$4995,C59,SalesByItemData!$W$3:$W$4995,$N$3,SalesByItemData!$A$3:$A$4995,"&gt;0",SalesByItemData!$X$3:$X$4995,"&gt;0")</f>
        <v>0</v>
      </c>
      <c r="I59" s="511" t="e">
        <f t="shared" si="7"/>
        <v>#REF!</v>
      </c>
      <c r="J59" s="860"/>
      <c r="K59" s="391"/>
      <c r="R59"/>
      <c r="S59"/>
      <c r="T59"/>
      <c r="U59"/>
      <c r="V59"/>
    </row>
    <row r="60" spans="2:22" s="13" customFormat="1" ht="25.5">
      <c r="B60" s="511">
        <v>12</v>
      </c>
      <c r="C60" s="530" t="str">
        <f>IFERROR(IF(D60&lt;&gt;"",VLOOKUP(MID(D60,1,2),product_list,2,FALSE),""),"")</f>
        <v/>
      </c>
      <c r="D60" s="531" t="s">
        <v>1932</v>
      </c>
      <c r="E60" s="1033" t="str">
        <f t="shared" si="6"/>
        <v>Case/6boxs</v>
      </c>
      <c r="F60" s="511" t="e">
        <f>IF(OR(C60="",SUMIFS(#REF!,#REF!,C60,#REF!,"&gt;="&amp;$P$3,#REF!,"&lt;="&amp;$P$5,#REF!,"=1")-(SUMIFS(SalesByItemData!$I$3:$I$4995,SalesByItemData!$G$3:$G$4995,C60,SalesByItemData!$E$3:$E$4995,"&gt;="&amp;$P$3,SalesByItemData!$E$3:$E$4995,"&lt;="&amp;$P$5,SalesByItemData!$X$3:$X$4995,"=1")+SUMIFS(SalesByItemData!$J$3:$J$4995,SalesByItemData!$G$3:$G$4995,C60,SalesByItemData!$E$3:$E$4995,"&gt;="&amp;$P$3,SalesByItemData!$E$3:$E$4995,"&lt;="&amp;$P$5,SalesByItemData!$X$3:$X$4995,"&gt;0"))=""),"",SUMIFS(#REF!,#REF!,C60,#REF!,"&gt;="&amp;$P$3,#REF!,"&lt;="&amp;$P$5,#REF!,"=1")-(SUMIFS(SalesByItemData!$I$3:$I$4995,SalesByItemData!$G$3:$G$4995,C60,SalesByItemData!$E$3:$E$4995,"&gt;="&amp;$P$3,SalesByItemData!$E$3:$E$4995,"&lt;="&amp;$P$5,SalesByItemData!$X$3:$X$4995,"=1")+SUMIFS(SalesByItemData!$J$3:$J$4995,SalesByItemData!$G$3:$G$4995,C60,SalesByItemData!$E$3:$E$4995,"&gt;="&amp;$P$3,SalesByItemData!$E$3:$E$4995,"&lt;="&amp;$P$5,SalesByItemData!$X$3:$X$4995,"&gt;0")))</f>
        <v>#REF!</v>
      </c>
      <c r="G60" s="511" t="e">
        <f>SUMIFS(#REF!,#REF!,C60,#REF!,$N$3)</f>
        <v>#REF!</v>
      </c>
      <c r="H60" s="511">
        <f>SUMIFS(SalesByItemData!$I$3:$I$4995,SalesByItemData!$G$3:$G$4995,C60,SalesByItemData!$W$3:$W$4995,$N$3,SalesByItemData!$A$3:$A$4995,"&gt;0")+SUMIFS(SalesByItemData!$J$3:$J$4995,SalesByItemData!$G$3:$G$4995,C60,SalesByItemData!$W$3:$W$4995,$N$3,SalesByItemData!$A$3:$A$4995,"&gt;0",SalesByItemData!$X$3:$X$4995,"&gt;0")</f>
        <v>0</v>
      </c>
      <c r="I60" s="511" t="e">
        <f t="shared" si="7"/>
        <v>#REF!</v>
      </c>
      <c r="J60" s="860"/>
      <c r="K60" s="391"/>
      <c r="R60"/>
      <c r="S60"/>
      <c r="T60"/>
      <c r="U60"/>
      <c r="V60"/>
    </row>
    <row r="61" spans="2:22" s="13" customFormat="1">
      <c r="B61" s="206"/>
      <c r="C61" s="206"/>
      <c r="D61" s="206"/>
      <c r="E61" s="206"/>
      <c r="F61" s="143"/>
      <c r="G61" s="143"/>
      <c r="H61" s="143"/>
      <c r="I61" s="143"/>
      <c r="J61" s="860"/>
      <c r="K61" s="391"/>
      <c r="R61"/>
      <c r="S61"/>
      <c r="T61"/>
      <c r="U61"/>
      <c r="V61"/>
    </row>
    <row r="62" spans="2:22" s="13" customFormat="1">
      <c r="B62" s="206"/>
      <c r="C62" s="206"/>
      <c r="D62" s="206"/>
      <c r="E62" s="206"/>
      <c r="F62" s="143"/>
      <c r="G62" s="143"/>
      <c r="H62" s="143"/>
      <c r="I62" s="143"/>
      <c r="J62" s="860"/>
      <c r="K62" s="391"/>
      <c r="R62"/>
      <c r="S62"/>
      <c r="T62"/>
      <c r="U62"/>
      <c r="V62"/>
    </row>
    <row r="63" spans="2:22" s="13" customFormat="1">
      <c r="B63" s="206"/>
      <c r="C63" s="206"/>
      <c r="D63" s="206"/>
      <c r="E63" s="206"/>
      <c r="F63" s="143"/>
      <c r="G63" s="143"/>
      <c r="H63" s="143"/>
      <c r="I63" s="143"/>
      <c r="J63" s="860"/>
      <c r="K63" s="391"/>
      <c r="R63"/>
      <c r="S63"/>
      <c r="T63"/>
      <c r="U63"/>
      <c r="V63"/>
    </row>
    <row r="64" spans="2:22" s="13" customFormat="1">
      <c r="B64" s="206"/>
      <c r="C64" s="206"/>
      <c r="D64" s="206"/>
      <c r="E64" s="206"/>
      <c r="F64" s="143"/>
      <c r="G64" s="143"/>
      <c r="H64" s="143"/>
      <c r="I64" s="143"/>
      <c r="J64" s="860"/>
      <c r="K64" s="391"/>
      <c r="R64"/>
      <c r="S64"/>
      <c r="T64"/>
      <c r="U64"/>
      <c r="V64"/>
    </row>
    <row r="68" spans="2:10" ht="49.5" customHeight="1">
      <c r="B68" s="1605" t="str">
        <f>"របាយការណ៍ស្តុកឆ្នាំ2024-"&amp;$N$3</f>
        <v>របាយការណ៍ស្តុកឆ្នាំ2024-2026</v>
      </c>
      <c r="C68" s="1605"/>
      <c r="D68" s="1605"/>
      <c r="E68" s="1605"/>
      <c r="F68" s="1605"/>
      <c r="G68" s="1605"/>
      <c r="H68" s="1605"/>
      <c r="I68" s="1605"/>
    </row>
    <row r="69" spans="2:10" ht="29.25">
      <c r="B69" s="1604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( 01/01/2024 - 31/03/2026 )</v>
      </c>
      <c r="C69" s="1604"/>
      <c r="D69" s="1604"/>
      <c r="E69" s="1604"/>
      <c r="F69" s="1604"/>
      <c r="G69" s="1604"/>
      <c r="H69" s="1604"/>
      <c r="I69" s="1604"/>
    </row>
    <row r="70" spans="2:10" ht="25.5">
      <c r="B70" s="532" t="s">
        <v>59</v>
      </c>
      <c r="C70" s="532" t="s">
        <v>130</v>
      </c>
      <c r="D70" s="532" t="s">
        <v>74</v>
      </c>
      <c r="E70" s="532" t="s">
        <v>75</v>
      </c>
      <c r="F70" s="532" t="str">
        <f>"ស្តុកចុងឆ្នាំ2023"</f>
        <v>ស្តុកចុងឆ្នាំ2023</v>
      </c>
      <c r="G70" s="532" t="s">
        <v>305</v>
      </c>
      <c r="H70" s="532" t="s">
        <v>306</v>
      </c>
      <c r="I70" s="532" t="s">
        <v>131</v>
      </c>
    </row>
    <row r="71" spans="2:10">
      <c r="B71" s="533" t="s">
        <v>11</v>
      </c>
      <c r="C71" s="533" t="s">
        <v>132</v>
      </c>
      <c r="D71" s="533" t="s">
        <v>92</v>
      </c>
      <c r="E71" s="533" t="s">
        <v>15</v>
      </c>
      <c r="F71" s="533" t="s">
        <v>133</v>
      </c>
      <c r="G71" s="533" t="s">
        <v>134</v>
      </c>
      <c r="H71" s="533" t="s">
        <v>247</v>
      </c>
      <c r="I71" s="533" t="s">
        <v>135</v>
      </c>
    </row>
    <row r="72" spans="2:10" ht="25.5">
      <c r="B72" s="511" t="str">
        <f>MID(D72,1,2)</f>
        <v>00</v>
      </c>
      <c r="C72" s="530" t="str">
        <f t="shared" ref="C72:C81" si="8">IFERROR(IF(D72&lt;&gt;"",VLOOKUP(MID(D72,1,2),product_list,2,FALSE),""),"")</f>
        <v/>
      </c>
      <c r="D72" s="531" t="s">
        <v>1932</v>
      </c>
      <c r="E72" s="1033" t="str">
        <f t="shared" ref="E72:E84" si="9">IF(D72="","",MID(VLOOKUP(MID(D72,1,5)*1,product_list,11,FALSE),5,50))</f>
        <v>Case/6boxs</v>
      </c>
      <c r="F72" s="511"/>
      <c r="G72" s="511" t="e">
        <f>SUMIFS('1_inventory_total_details'!#REF!,'1_inventory_total_details'!#REF!,B72)</f>
        <v>#REF!</v>
      </c>
      <c r="H72" s="511" t="e">
        <f>SUMIFS('1_inventory_total_details'!#REF!,'1_inventory_total_details'!#REF!,C72)</f>
        <v>#REF!</v>
      </c>
      <c r="I72" s="511" t="e">
        <f>IF(OR(C72="",N(G72)-N(H72)=0),"",N(G72)-N(H72))</f>
        <v>#REF!</v>
      </c>
      <c r="J72"/>
    </row>
    <row r="73" spans="2:10" ht="25.5">
      <c r="B73" s="511" t="str">
        <f t="shared" ref="B73:B84" si="10">MID(D73,1,2)</f>
        <v>00</v>
      </c>
      <c r="C73" s="530" t="str">
        <f>IFERROR(IF(D73&lt;&gt;"",VLOOKUP(MID(D73,1,2),product_list,2,FALSE),""),"")</f>
        <v/>
      </c>
      <c r="D73" s="531" t="s">
        <v>1932</v>
      </c>
      <c r="E73" s="1033" t="str">
        <f t="shared" si="9"/>
        <v>Case/6boxs</v>
      </c>
      <c r="F73" s="511"/>
      <c r="G73" s="511" t="e">
        <f>SUMIFS('1_inventory_total_details'!#REF!,'1_inventory_total_details'!#REF!,B73)</f>
        <v>#REF!</v>
      </c>
      <c r="H73" s="511" t="e">
        <f>SUMIFS('1_inventory_total_details'!#REF!,'1_inventory_total_details'!#REF!,C73)</f>
        <v>#REF!</v>
      </c>
      <c r="I73" s="511" t="e">
        <f t="shared" ref="I73:I81" si="11">IF(OR(C73="",N(G73)-N(H73)=0),"",N(G73)-N(H73))</f>
        <v>#REF!</v>
      </c>
      <c r="J73"/>
    </row>
    <row r="74" spans="2:10" ht="25.5">
      <c r="B74" s="511" t="str">
        <f t="shared" si="10"/>
        <v>00</v>
      </c>
      <c r="C74" s="530" t="str">
        <f t="shared" si="8"/>
        <v/>
      </c>
      <c r="D74" s="531" t="s">
        <v>1932</v>
      </c>
      <c r="E74" s="1033" t="str">
        <f t="shared" si="9"/>
        <v>Case/6boxs</v>
      </c>
      <c r="F74" s="511"/>
      <c r="G74" s="511" t="e">
        <f>SUMIFS('1_inventory_total_details'!#REF!,'1_inventory_total_details'!#REF!,B74)</f>
        <v>#REF!</v>
      </c>
      <c r="H74" s="511" t="e">
        <f>SUMIFS('1_inventory_total_details'!#REF!,'1_inventory_total_details'!#REF!,C74)</f>
        <v>#REF!</v>
      </c>
      <c r="I74" s="511" t="e">
        <f t="shared" si="11"/>
        <v>#REF!</v>
      </c>
      <c r="J74"/>
    </row>
    <row r="75" spans="2:10" ht="25.5">
      <c r="B75" s="511" t="str">
        <f t="shared" si="10"/>
        <v>00</v>
      </c>
      <c r="C75" s="530" t="str">
        <f t="shared" si="8"/>
        <v/>
      </c>
      <c r="D75" s="531" t="s">
        <v>1932</v>
      </c>
      <c r="E75" s="1033" t="str">
        <f t="shared" si="9"/>
        <v>Case/6boxs</v>
      </c>
      <c r="F75" s="511"/>
      <c r="G75" s="511" t="e">
        <f>SUMIFS('1_inventory_total_details'!#REF!,'1_inventory_total_details'!#REF!,B75)</f>
        <v>#REF!</v>
      </c>
      <c r="H75" s="511" t="e">
        <f>SUMIFS('1_inventory_total_details'!#REF!,'1_inventory_total_details'!#REF!,C75)</f>
        <v>#REF!</v>
      </c>
      <c r="I75" s="511" t="e">
        <f t="shared" si="11"/>
        <v>#REF!</v>
      </c>
      <c r="J75"/>
    </row>
    <row r="76" spans="2:10" ht="25.5">
      <c r="B76" s="511" t="str">
        <f t="shared" si="10"/>
        <v>00</v>
      </c>
      <c r="C76" s="530" t="str">
        <f t="shared" si="8"/>
        <v/>
      </c>
      <c r="D76" s="531" t="s">
        <v>1932</v>
      </c>
      <c r="E76" s="1033" t="str">
        <f t="shared" si="9"/>
        <v>Case/6boxs</v>
      </c>
      <c r="F76" s="511"/>
      <c r="G76" s="511" t="e">
        <f>SUMIFS('1_inventory_total_details'!#REF!,'1_inventory_total_details'!#REF!,B76)</f>
        <v>#REF!</v>
      </c>
      <c r="H76" s="511" t="e">
        <f>SUMIFS('1_inventory_total_details'!#REF!,'1_inventory_total_details'!#REF!,C76)</f>
        <v>#REF!</v>
      </c>
      <c r="I76" s="511" t="e">
        <f t="shared" si="11"/>
        <v>#REF!</v>
      </c>
      <c r="J76"/>
    </row>
    <row r="77" spans="2:10" ht="25.5">
      <c r="B77" s="511" t="str">
        <f t="shared" si="10"/>
        <v>00</v>
      </c>
      <c r="C77" s="530" t="str">
        <f t="shared" si="8"/>
        <v/>
      </c>
      <c r="D77" s="531" t="s">
        <v>1932</v>
      </c>
      <c r="E77" s="1033" t="str">
        <f t="shared" si="9"/>
        <v>Case/6boxs</v>
      </c>
      <c r="F77" s="511"/>
      <c r="G77" s="511" t="e">
        <f>SUMIFS('1_inventory_total_details'!#REF!,'1_inventory_total_details'!#REF!,B77)</f>
        <v>#REF!</v>
      </c>
      <c r="H77" s="511" t="e">
        <f>SUMIFS('1_inventory_total_details'!#REF!,'1_inventory_total_details'!#REF!,C77)</f>
        <v>#REF!</v>
      </c>
      <c r="I77" s="511" t="e">
        <f t="shared" si="11"/>
        <v>#REF!</v>
      </c>
      <c r="J77"/>
    </row>
    <row r="78" spans="2:10" ht="25.5">
      <c r="B78" s="511" t="str">
        <f t="shared" si="10"/>
        <v>00</v>
      </c>
      <c r="C78" s="530" t="str">
        <f t="shared" si="8"/>
        <v/>
      </c>
      <c r="D78" s="531" t="s">
        <v>1932</v>
      </c>
      <c r="E78" s="1033" t="str">
        <f t="shared" si="9"/>
        <v>Case/6boxs</v>
      </c>
      <c r="F78" s="511"/>
      <c r="G78" s="511" t="e">
        <f>SUMIFS('1_inventory_total_details'!#REF!,'1_inventory_total_details'!#REF!,B78)</f>
        <v>#REF!</v>
      </c>
      <c r="H78" s="511" t="e">
        <f>SUMIFS('1_inventory_total_details'!#REF!,'1_inventory_total_details'!#REF!,C78)</f>
        <v>#REF!</v>
      </c>
      <c r="I78" s="511" t="e">
        <f t="shared" si="11"/>
        <v>#REF!</v>
      </c>
      <c r="J78"/>
    </row>
    <row r="79" spans="2:10" ht="25.5">
      <c r="B79" s="511" t="str">
        <f t="shared" si="10"/>
        <v>00</v>
      </c>
      <c r="C79" s="530" t="str">
        <f t="shared" si="8"/>
        <v/>
      </c>
      <c r="D79" s="531" t="s">
        <v>1932</v>
      </c>
      <c r="E79" s="1033" t="str">
        <f t="shared" si="9"/>
        <v>Case/6boxs</v>
      </c>
      <c r="F79" s="511"/>
      <c r="G79" s="511" t="e">
        <f>SUMIFS('1_inventory_total_details'!#REF!,'1_inventory_total_details'!#REF!,B79)</f>
        <v>#REF!</v>
      </c>
      <c r="H79" s="511" t="e">
        <f>SUMIFS('1_inventory_total_details'!#REF!,'1_inventory_total_details'!#REF!,C79)</f>
        <v>#REF!</v>
      </c>
      <c r="I79" s="511" t="e">
        <f t="shared" si="11"/>
        <v>#REF!</v>
      </c>
      <c r="J79"/>
    </row>
    <row r="80" spans="2:10" ht="25.5">
      <c r="B80" s="511" t="str">
        <f t="shared" si="10"/>
        <v>00</v>
      </c>
      <c r="C80" s="530" t="str">
        <f t="shared" si="8"/>
        <v/>
      </c>
      <c r="D80" s="531" t="s">
        <v>1932</v>
      </c>
      <c r="E80" s="1033" t="str">
        <f t="shared" si="9"/>
        <v>Case/6boxs</v>
      </c>
      <c r="F80" s="511"/>
      <c r="G80" s="511" t="e">
        <f>SUMIFS('1_inventory_total_details'!#REF!,'1_inventory_total_details'!#REF!,B80)</f>
        <v>#REF!</v>
      </c>
      <c r="H80" s="511" t="e">
        <f>SUMIFS('1_inventory_total_details'!#REF!,'1_inventory_total_details'!#REF!,C80)</f>
        <v>#REF!</v>
      </c>
      <c r="I80" s="511" t="e">
        <f t="shared" si="11"/>
        <v>#REF!</v>
      </c>
      <c r="J80"/>
    </row>
    <row r="81" spans="2:10" ht="25.5">
      <c r="B81" s="511" t="str">
        <f t="shared" si="10"/>
        <v>00</v>
      </c>
      <c r="C81" s="530" t="str">
        <f t="shared" si="8"/>
        <v/>
      </c>
      <c r="D81" s="531" t="s">
        <v>1932</v>
      </c>
      <c r="E81" s="1033" t="str">
        <f t="shared" si="9"/>
        <v>Case/6boxs</v>
      </c>
      <c r="F81" s="511"/>
      <c r="G81" s="511" t="e">
        <f>SUMIFS('1_inventory_total_details'!#REF!,'1_inventory_total_details'!#REF!,B81)</f>
        <v>#REF!</v>
      </c>
      <c r="H81" s="511" t="e">
        <f>SUMIFS('1_inventory_total_details'!#REF!,'1_inventory_total_details'!#REF!,C81)</f>
        <v>#REF!</v>
      </c>
      <c r="I81" s="511" t="e">
        <f t="shared" si="11"/>
        <v>#REF!</v>
      </c>
      <c r="J81"/>
    </row>
    <row r="82" spans="2:10" ht="25.5">
      <c r="B82" s="511" t="str">
        <f t="shared" si="10"/>
        <v>00</v>
      </c>
      <c r="C82" s="530" t="str">
        <f>IFERROR(IF(D82&lt;&gt;"",VLOOKUP(MID(D82,1,2),product_list,2,FALSE),""),"")</f>
        <v/>
      </c>
      <c r="D82" s="531" t="s">
        <v>1932</v>
      </c>
      <c r="E82" s="1033" t="str">
        <f t="shared" si="9"/>
        <v>Case/6boxs</v>
      </c>
      <c r="F82" s="511"/>
      <c r="G82" s="511" t="e">
        <f>SUMIFS('1_inventory_total_details'!#REF!,'1_inventory_total_details'!#REF!,B82)</f>
        <v>#REF!</v>
      </c>
      <c r="H82" s="511" t="e">
        <f>SUMIFS('1_inventory_total_details'!#REF!,'1_inventory_total_details'!#REF!,C82)</f>
        <v>#REF!</v>
      </c>
      <c r="I82" s="511" t="e">
        <f>IF(OR(C82="",N(G82)-N(H82)=0),"",N(G82)-N(H82))</f>
        <v>#REF!</v>
      </c>
    </row>
    <row r="83" spans="2:10" ht="25.5">
      <c r="B83" s="511" t="str">
        <f t="shared" si="10"/>
        <v>00</v>
      </c>
      <c r="C83" s="530" t="str">
        <f>IFERROR(IF(D83&lt;&gt;"",VLOOKUP(MID(D83,1,2),product_list,2,FALSE),""),"")</f>
        <v/>
      </c>
      <c r="D83" s="531" t="s">
        <v>1932</v>
      </c>
      <c r="E83" s="1033" t="str">
        <f t="shared" si="9"/>
        <v>Case/6boxs</v>
      </c>
      <c r="F83" s="511"/>
      <c r="G83" s="511" t="e">
        <f>SUMIFS('1_inventory_total_details'!#REF!,'1_inventory_total_details'!#REF!,B83)</f>
        <v>#REF!</v>
      </c>
      <c r="H83" s="511" t="e">
        <f>SUMIFS('1_inventory_total_details'!#REF!,'1_inventory_total_details'!#REF!,C83)</f>
        <v>#REF!</v>
      </c>
      <c r="I83" s="511" t="e">
        <f>IF(OR(C83="",N(G83)-N(H83)=0),"",N(G83)-N(H83))</f>
        <v>#REF!</v>
      </c>
    </row>
    <row r="84" spans="2:10" ht="25.5">
      <c r="B84" s="511" t="str">
        <f t="shared" si="10"/>
        <v>00</v>
      </c>
      <c r="C84" s="530" t="str">
        <f>IFERROR(IF(D84&lt;&gt;"",VLOOKUP(MID(D84,1,2),product_list,2,FALSE),""),"")</f>
        <v/>
      </c>
      <c r="D84" s="531" t="s">
        <v>1932</v>
      </c>
      <c r="E84" s="1033" t="str">
        <f t="shared" si="9"/>
        <v>Case/6boxs</v>
      </c>
      <c r="F84" s="511"/>
      <c r="G84" s="511" t="e">
        <f>SUMIFS('1_inventory_total_details'!#REF!,'1_inventory_total_details'!#REF!,B84)</f>
        <v>#REF!</v>
      </c>
      <c r="H84" s="511" t="e">
        <f>SUMIFS('1_inventory_total_details'!#REF!,'1_inventory_total_details'!#REF!,C84)</f>
        <v>#REF!</v>
      </c>
      <c r="I84" s="511" t="e">
        <f>IF(OR(C84="",N(G84)-N(H84)=0),"",N(G84)-N(H84))</f>
        <v>#REF!</v>
      </c>
    </row>
  </sheetData>
  <dataConsolidate/>
  <mergeCells count="6">
    <mergeCell ref="B69:I69"/>
    <mergeCell ref="B45:I45"/>
    <mergeCell ref="B3:I3"/>
    <mergeCell ref="B2:I2"/>
    <mergeCell ref="B44:I44"/>
    <mergeCell ref="B68:I68"/>
  </mergeCells>
  <dataValidations count="2">
    <dataValidation type="list" allowBlank="1" showInputMessage="1" showErrorMessage="1" sqref="D48:D60 D72:D84 D7:D30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699" r:id="rId4" name="Button 3">
              <controlPr defaultSize="0" print="0" autoFill="0" autoPict="0" macro="[0]!goInventoryAdj">
                <anchor moveWithCells="1" sizeWithCells="1">
                  <from>
                    <xdr:col>2</xdr:col>
                    <xdr:colOff>676275</xdr:colOff>
                    <xdr:row>1</xdr:row>
                    <xdr:rowOff>161925</xdr:rowOff>
                  </from>
                  <to>
                    <xdr:col>3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0" r:id="rId5" name="Button 4">
              <controlPr defaultSize="0" print="0" autoFill="0" autoPict="0" macro="[0]!goToInvAdjData">
                <anchor moveWithCells="1" sizeWithCells="1">
                  <from>
                    <xdr:col>9</xdr:col>
                    <xdr:colOff>66675</xdr:colOff>
                    <xdr:row>1</xdr:row>
                    <xdr:rowOff>19050</xdr:rowOff>
                  </from>
                  <to>
                    <xdr:col>9</xdr:col>
                    <xdr:colOff>1304925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1" r:id="rId6" name="Button 5">
              <controlPr defaultSize="0" print="0" autoFill="0" autoPict="0" macro="[0]!goToInvAdjDetailData">
                <anchor moveWithCells="1" sizeWithCells="1">
                  <from>
                    <xdr:col>7</xdr:col>
                    <xdr:colOff>666750</xdr:colOff>
                    <xdr:row>1</xdr:row>
                    <xdr:rowOff>28575</xdr:rowOff>
                  </from>
                  <to>
                    <xdr:col>8</xdr:col>
                    <xdr:colOff>990600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2" r:id="rId7" name="Button 6">
              <controlPr defaultSize="0" print="0" autoFill="0" autoPict="0" macro="[0]!goAddInvoice">
                <anchor moveWithCells="1" sizeWithCells="1">
                  <from>
                    <xdr:col>10</xdr:col>
                    <xdr:colOff>57150</xdr:colOff>
                    <xdr:row>1</xdr:row>
                    <xdr:rowOff>38100</xdr:rowOff>
                  </from>
                  <to>
                    <xdr:col>11</xdr:col>
                    <xdr:colOff>581025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3" r:id="rId8" name="Button 7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9525</xdr:colOff>
                    <xdr:row>1</xdr:row>
                    <xdr:rowOff>171450</xdr:rowOff>
                  </from>
                  <to>
                    <xdr:col>2</xdr:col>
                    <xdr:colOff>581025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U208"/>
  <sheetViews>
    <sheetView showGridLines="0" zoomScale="80" zoomScaleNormal="80" zoomScaleSheetLayoutView="80" zoomScalePageLayoutView="80" workbookViewId="0">
      <pane ySplit="7" topLeftCell="A8" activePane="bottomLeft" state="frozen"/>
      <selection pane="bottomLeft" activeCell="R8" sqref="R8"/>
    </sheetView>
  </sheetViews>
  <sheetFormatPr defaultRowHeight="24.95" customHeight="1"/>
  <cols>
    <col min="1" max="1" width="1.5703125" style="408" customWidth="1"/>
    <col min="2" max="2" width="4" style="408" customWidth="1"/>
    <col min="3" max="3" width="32" style="408" customWidth="1"/>
    <col min="4" max="4" width="8.7109375" style="408" customWidth="1"/>
    <col min="5" max="5" width="30.28515625" style="408" customWidth="1"/>
    <col min="6" max="6" width="12.42578125" style="408" customWidth="1"/>
    <col min="7" max="7" width="3.28515625" style="216" customWidth="1"/>
    <col min="8" max="8" width="3.28515625" style="216" hidden="1" customWidth="1"/>
    <col min="9" max="9" width="2.5703125" style="426" customWidth="1"/>
    <col min="10" max="10" width="8" style="143" customWidth="1"/>
    <col min="11" max="11" width="22.140625" style="143" customWidth="1"/>
    <col min="12" max="12" width="46" style="693" bestFit="1" customWidth="1"/>
    <col min="13" max="17" width="20.7109375" style="143" customWidth="1"/>
    <col min="18" max="19" width="17.42578125" style="143" customWidth="1"/>
    <col min="20" max="20" width="20.7109375" style="143" customWidth="1"/>
    <col min="21" max="21" width="22.140625" style="259" customWidth="1"/>
    <col min="22" max="22" width="20.85546875" style="259" customWidth="1"/>
    <col min="23" max="23" width="15.7109375" style="204" customWidth="1"/>
    <col min="24" max="24" width="17.140625" style="204" customWidth="1"/>
    <col min="25" max="25" width="22.85546875" style="259" customWidth="1"/>
    <col min="26" max="26" width="20.5703125" style="259" bestFit="1" customWidth="1"/>
    <col min="27" max="27" width="25.85546875" style="259" customWidth="1"/>
    <col min="28" max="28" width="20.42578125" style="259" customWidth="1"/>
    <col min="29" max="29" width="21.5703125" style="259" customWidth="1"/>
    <col min="30" max="31" width="19.85546875" style="475" customWidth="1"/>
    <col min="32" max="32" width="19.85546875" style="126" customWidth="1"/>
    <col min="33" max="34" width="19.85546875" style="204" customWidth="1"/>
    <col min="35" max="35" width="20.5703125" style="126" customWidth="1"/>
    <col min="36" max="36" width="14.42578125" style="126" bestFit="1" customWidth="1"/>
    <col min="37" max="37" width="19.85546875" style="126" customWidth="1"/>
    <col min="38" max="38" width="16.28515625" style="126" bestFit="1" customWidth="1"/>
    <col min="39" max="39" width="16.28515625" style="475" customWidth="1"/>
    <col min="40" max="40" width="4.5703125" style="475" customWidth="1"/>
    <col min="41" max="41" width="15.7109375" style="126" bestFit="1" customWidth="1"/>
    <col min="42" max="42" width="13.7109375" style="143" bestFit="1" customWidth="1"/>
    <col min="43" max="43" width="17.42578125" style="143" bestFit="1" customWidth="1"/>
    <col min="44" max="44" width="9.85546875" style="408" customWidth="1"/>
    <col min="45" max="45" width="21" style="408" customWidth="1"/>
    <col min="46" max="46" width="7.7109375" style="408" customWidth="1"/>
    <col min="47" max="47" width="6.7109375" style="408" customWidth="1"/>
    <col min="48" max="48" width="6.140625" style="408" bestFit="1" customWidth="1"/>
    <col min="49" max="49" width="9.140625" style="408" customWidth="1"/>
    <col min="50" max="50" width="2.7109375" style="691" customWidth="1"/>
    <col min="51" max="51" width="9.7109375" style="408" customWidth="1"/>
    <col min="52" max="52" width="2.7109375" style="691" customWidth="1"/>
    <col min="53" max="53" width="11.85546875" style="408" customWidth="1"/>
    <col min="54" max="54" width="2.7109375" style="691" customWidth="1"/>
    <col min="55" max="55" width="16" style="408" customWidth="1"/>
    <col min="56" max="56" width="2.85546875" style="408" customWidth="1"/>
    <col min="57" max="57" width="5.140625" style="408" customWidth="1"/>
    <col min="58" max="58" width="1.85546875" style="408" customWidth="1"/>
    <col min="59" max="59" width="5.85546875" style="408" customWidth="1"/>
    <col min="60" max="60" width="7.140625" style="408" customWidth="1"/>
    <col min="61" max="61" width="1.42578125" style="408" customWidth="1"/>
    <col min="62" max="62" width="9.85546875" style="408" customWidth="1"/>
    <col min="63" max="63" width="21" style="408" customWidth="1"/>
    <col min="64" max="64" width="7.7109375" style="408" customWidth="1"/>
    <col min="65" max="66" width="6.7109375" style="408" customWidth="1"/>
    <col min="67" max="67" width="9.28515625" style="408" customWidth="1"/>
    <col min="68" max="68" width="2.7109375" style="691" customWidth="1"/>
    <col min="69" max="69" width="9.7109375" style="408" customWidth="1"/>
    <col min="70" max="70" width="2.7109375" style="691" customWidth="1"/>
    <col min="71" max="71" width="11.85546875" style="408" customWidth="1"/>
    <col min="72" max="72" width="2.7109375" style="691" customWidth="1"/>
    <col min="73" max="73" width="16" style="408" customWidth="1"/>
    <col min="74" max="74" width="1.7109375" style="408" customWidth="1"/>
    <col min="75" max="75" width="9.140625" style="408" customWidth="1"/>
    <col min="76" max="16384" width="9.140625" style="408"/>
  </cols>
  <sheetData>
    <row r="1" spans="1:72" ht="8.25" customHeight="1">
      <c r="B1" s="752"/>
      <c r="C1" s="753"/>
      <c r="D1" s="753"/>
      <c r="E1" s="753"/>
      <c r="F1" s="753"/>
    </row>
    <row r="2" spans="1:72" ht="36.75">
      <c r="B2" s="1347"/>
      <c r="C2" s="1348"/>
      <c r="D2" s="1348"/>
      <c r="E2" s="1348"/>
      <c r="F2" s="1349"/>
      <c r="G2" s="902"/>
      <c r="H2" s="902"/>
      <c r="I2" s="1312"/>
      <c r="J2" s="985" t="s">
        <v>2173</v>
      </c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1111"/>
    </row>
    <row r="3" spans="1:72" ht="8.25" customHeight="1">
      <c r="B3" s="1350"/>
      <c r="C3" s="920"/>
      <c r="D3" s="920"/>
      <c r="E3" s="920"/>
      <c r="F3" s="1351"/>
      <c r="G3" s="903"/>
      <c r="H3" s="903"/>
      <c r="I3" s="1313"/>
      <c r="J3" s="763"/>
      <c r="K3" s="763"/>
      <c r="L3" s="761"/>
      <c r="M3" s="763"/>
      <c r="N3" s="763"/>
      <c r="O3" s="763"/>
      <c r="P3" s="763"/>
      <c r="Q3" s="763"/>
      <c r="R3" s="763"/>
      <c r="S3" s="763"/>
      <c r="T3" s="763"/>
    </row>
    <row r="4" spans="1:72" ht="27.75" customHeight="1">
      <c r="A4" s="765"/>
      <c r="B4" s="1352"/>
      <c r="C4" s="923"/>
      <c r="D4" s="923"/>
      <c r="E4" s="923"/>
      <c r="F4" s="1353"/>
      <c r="J4" s="1106"/>
      <c r="K4" s="1106"/>
      <c r="L4" s="1106"/>
      <c r="M4" s="311"/>
      <c r="N4" s="311"/>
      <c r="O4" s="311"/>
      <c r="P4" s="311"/>
      <c r="Q4" s="311"/>
      <c r="R4" s="13"/>
      <c r="S4" s="311"/>
      <c r="T4" s="311"/>
      <c r="Y4" s="259">
        <f>IF(I8="","",IF(ISNA(MATCH(I8,'1_inventory_totals'!$C$8:$C$10000,0)),0,IF(SUMIFS('1_inventory_totals'!$H$8:$H$10000,'1_inventory_totals'!$C$8:$C$10000,I8,'1_inventory_totals'!$F$8:$F$10000,"="&amp;S8,'1_inventory_totals'!$G$8:$G$10000,"="&amp;T8)=0,0,1)))</f>
        <v>0</v>
      </c>
      <c r="Z4" s="259">
        <f>SUMIFS('2_inventory_total_details'!$J$8:$J$10000,'2_inventory_total_details'!$C$8:$C$10000,I8,'2_inventory_total_details'!$F$8:$F$10000,MID(N8,1,3)*1,'2_inventory_total_details'!$G$8:$G$10000,"="&amp;S8,'2_inventory_total_details'!$H$8:$H$10000,"="&amp;T8,'2_inventory_total_details'!$I$8:$I$10000,"="&amp;adj_date)+SUMIFS('2_inventory_total_details'!$M$8:$M$10000,'1_inventory_total_details'!$C$8:$C$10000,I8,'2_inventory_total_details'!$F$8:$F$10000,MID(N8,1,3)*1,'2_inventory_total_details'!$G$8:$G$10000,"="&amp;S8,'2_inventory_total_details'!$H$8:$H$10000,"="&amp;T8,'2_inventory_total_details'!$I$8:$I$10000,"="&amp;adj_date)+SUMIFS('2_inventory_total_details'!$K$8:$K$10000,'2_inventory_total_details'!$C$8:$C$10000,I8,'2_inventory_total_details'!$F$8:$F$10000,MID(N8,1,3)*1,'2_inventory_total_details'!$G$8:$G$10000,"="&amp;S8,'2_inventory_total_details'!$H$8:$H$10000,"="&amp;T8,'2_inventory_total_details'!$I$8:$I$10000,"="&amp;adj_date)+SUMIFS('2_inventory_total_details'!$L$8:$L$10000,'2_inventory_total_details'!$C$8:$C$10000,I8,'2_inventory_total_details'!$F$8:$F$10000,MID(N8,1,3)*1,'2_inventory_total_details'!$G$8:$G$10000,"="&amp;S8,'2_inventory_total_details'!$H$8:$H$10000,"="&amp;T8,'2_inventory_total_details'!$I$8:$I$10000,"="&amp;adj_date)</f>
        <v>0</v>
      </c>
      <c r="AA4" s="259">
        <f>MATCH(I8,'[1]1_group_totals'!$C$8:$C$10000)</f>
        <v>1</v>
      </c>
    </row>
    <row r="5" spans="1:72" s="143" customFormat="1" ht="9" customHeight="1">
      <c r="A5" s="770"/>
      <c r="B5" s="1354"/>
      <c r="C5" s="926"/>
      <c r="D5" s="926"/>
      <c r="E5" s="926"/>
      <c r="F5" s="1355"/>
      <c r="G5" s="901"/>
      <c r="H5" s="901"/>
      <c r="I5" s="426"/>
      <c r="L5" s="693"/>
      <c r="U5" s="204"/>
      <c r="V5" s="204"/>
      <c r="W5" s="204"/>
      <c r="X5" s="204"/>
      <c r="Y5" s="204"/>
      <c r="Z5" s="204"/>
      <c r="AA5" s="204"/>
      <c r="AB5" s="204"/>
      <c r="AC5" s="204"/>
      <c r="AD5" s="128"/>
      <c r="AE5" s="128"/>
      <c r="AF5" s="126"/>
      <c r="AG5" s="204"/>
      <c r="AH5" s="204"/>
      <c r="AI5" s="126"/>
      <c r="AJ5" s="126"/>
      <c r="AK5" s="126"/>
      <c r="AL5" s="126"/>
      <c r="AM5" s="128"/>
      <c r="AN5" s="128"/>
      <c r="AO5" s="126"/>
      <c r="AX5" s="692"/>
      <c r="AZ5" s="692"/>
      <c r="BB5" s="692"/>
      <c r="BP5" s="692"/>
      <c r="BR5" s="692"/>
      <c r="BT5" s="692"/>
    </row>
    <row r="6" spans="1:72" s="126" customFormat="1" ht="28.5" customHeight="1">
      <c r="A6" s="775"/>
      <c r="B6" s="1356"/>
      <c r="C6" s="1474" t="s">
        <v>2365</v>
      </c>
      <c r="D6" s="1474">
        <v>1</v>
      </c>
      <c r="E6" s="1474" t="str">
        <f>IF(D6=1,"Issue",IF(D6=2,"Fullfilied",IF(D6=-1,"Edit","")))</f>
        <v>Issue</v>
      </c>
      <c r="F6" s="1357"/>
      <c r="G6" s="904"/>
      <c r="H6" s="904"/>
      <c r="I6" s="1314"/>
      <c r="J6" s="1434" t="s">
        <v>59</v>
      </c>
      <c r="K6" s="1435" t="s">
        <v>204</v>
      </c>
      <c r="L6" s="1434" t="s">
        <v>126</v>
      </c>
      <c r="M6" s="1434" t="s">
        <v>75</v>
      </c>
      <c r="N6" s="1434" t="s">
        <v>2033</v>
      </c>
      <c r="O6" s="1434" t="s">
        <v>2370</v>
      </c>
      <c r="P6" s="1434" t="s">
        <v>386</v>
      </c>
      <c r="Q6" s="1435" t="s">
        <v>327</v>
      </c>
      <c r="R6" s="1435" t="s">
        <v>2611</v>
      </c>
      <c r="S6" s="1434" t="s">
        <v>844</v>
      </c>
      <c r="T6" s="1434" t="s">
        <v>841</v>
      </c>
      <c r="U6" s="962" t="s">
        <v>1761</v>
      </c>
      <c r="V6" s="962" t="s">
        <v>2349</v>
      </c>
      <c r="W6" s="962" t="s">
        <v>76</v>
      </c>
      <c r="X6" s="962" t="s">
        <v>76</v>
      </c>
      <c r="Y6" s="962" t="s">
        <v>2616</v>
      </c>
      <c r="Z6" s="962" t="s">
        <v>2617</v>
      </c>
      <c r="AA6" s="1098" t="s">
        <v>2614</v>
      </c>
      <c r="AB6" s="1098" t="s">
        <v>2615</v>
      </c>
      <c r="AC6" s="1098" t="s">
        <v>2435</v>
      </c>
      <c r="AD6" s="1471" t="s">
        <v>2352</v>
      </c>
      <c r="AE6" s="1471" t="s">
        <v>2353</v>
      </c>
      <c r="AF6" s="1471" t="s">
        <v>2354</v>
      </c>
      <c r="AG6" s="1471" t="s">
        <v>2355</v>
      </c>
      <c r="AH6" s="1471" t="s">
        <v>2357</v>
      </c>
      <c r="AM6" s="128"/>
      <c r="AN6" s="128"/>
      <c r="AX6" s="185"/>
      <c r="AZ6" s="185"/>
      <c r="BB6" s="185"/>
      <c r="BP6" s="185"/>
      <c r="BR6" s="185"/>
      <c r="BT6" s="185"/>
    </row>
    <row r="7" spans="1:72" ht="19.5" customHeight="1">
      <c r="A7" s="765"/>
      <c r="B7" s="1358"/>
      <c r="C7" s="932"/>
      <c r="D7" s="932"/>
      <c r="E7" s="932"/>
      <c r="F7" s="1359"/>
      <c r="G7" s="213"/>
      <c r="I7" s="426" t="s">
        <v>2367</v>
      </c>
      <c r="J7" s="1438" t="s">
        <v>10</v>
      </c>
      <c r="K7" s="1468" t="s">
        <v>2612</v>
      </c>
      <c r="L7" s="1438" t="s">
        <v>122</v>
      </c>
      <c r="M7" s="1438" t="s">
        <v>1816</v>
      </c>
      <c r="N7" s="1438" t="s">
        <v>2613</v>
      </c>
      <c r="O7" s="1438" t="s">
        <v>2369</v>
      </c>
      <c r="P7" s="1438" t="s">
        <v>387</v>
      </c>
      <c r="Q7" s="1439" t="s">
        <v>332</v>
      </c>
      <c r="R7" s="1439" t="s">
        <v>2465</v>
      </c>
      <c r="S7" s="1438" t="s">
        <v>2579</v>
      </c>
      <c r="T7" s="1438" t="s">
        <v>577</v>
      </c>
      <c r="U7" s="1103" t="s">
        <v>403</v>
      </c>
      <c r="V7" s="1103" t="s">
        <v>2358</v>
      </c>
      <c r="W7" s="1103" t="s">
        <v>2569</v>
      </c>
      <c r="X7" s="1103" t="s">
        <v>2378</v>
      </c>
      <c r="Y7" s="1103" t="s">
        <v>845</v>
      </c>
      <c r="Z7" s="1103" t="s">
        <v>846</v>
      </c>
      <c r="AA7" s="1108" t="s">
        <v>2609</v>
      </c>
      <c r="AB7" s="1108" t="s">
        <v>2568</v>
      </c>
      <c r="AC7" s="1108" t="s">
        <v>2610</v>
      </c>
      <c r="AD7" s="1472" t="s">
        <v>1816</v>
      </c>
      <c r="AE7" s="1472" t="s">
        <v>2359</v>
      </c>
      <c r="AF7" s="1472" t="s">
        <v>2360</v>
      </c>
      <c r="AG7" s="1472" t="s">
        <v>2361</v>
      </c>
      <c r="AH7" s="1472" t="s">
        <v>2356</v>
      </c>
      <c r="AI7" s="348" t="s">
        <v>2618</v>
      </c>
      <c r="AJ7" s="915" t="s">
        <v>2361</v>
      </c>
      <c r="AK7" s="915" t="s">
        <v>845</v>
      </c>
      <c r="AL7" s="915" t="s">
        <v>2565</v>
      </c>
      <c r="AM7" s="915"/>
      <c r="AO7" s="915"/>
      <c r="AP7" s="915"/>
      <c r="AQ7" s="915"/>
      <c r="AR7" s="915"/>
    </row>
    <row r="8" spans="1:72" ht="27" customHeight="1">
      <c r="A8" s="765"/>
      <c r="B8" s="1360"/>
      <c r="C8" s="935" t="s">
        <v>2363</v>
      </c>
      <c r="D8" s="935"/>
      <c r="E8" s="936" t="s">
        <v>1945</v>
      </c>
      <c r="F8" s="1361">
        <f>COUNTIFS([1]InvAdjData!$L$8:$L$10000,"&gt;0")</f>
        <v>4</v>
      </c>
      <c r="G8" s="905"/>
      <c r="H8" s="905"/>
      <c r="I8" s="426">
        <f>IF(L8="","",MID(L8,1,5)*1)</f>
        <v>1</v>
      </c>
      <c r="J8" s="909">
        <f>IF(L8="","",1)</f>
        <v>1</v>
      </c>
      <c r="K8" s="1110" t="str">
        <f t="shared" ref="K8:K39" si="0">IF(L8="","",VLOOKUP(I8,product_list,2,FALSE))</f>
        <v>KS01</v>
      </c>
      <c r="L8" s="1476" t="s">
        <v>2607</v>
      </c>
      <c r="M8" s="1454" t="s">
        <v>2342</v>
      </c>
      <c r="N8" s="1454" t="s">
        <v>2682</v>
      </c>
      <c r="O8" s="1454">
        <v>1</v>
      </c>
      <c r="P8" s="1454">
        <f>IF(AND(adj_type&lt;&gt;"",L8&lt;&gt;"",M8&lt;&gt;""),IF(adj_type=1,O8*V8/U8,O8*V8/U8-Q8),"")</f>
        <v>1</v>
      </c>
      <c r="Q8" s="1454">
        <f>IF(L8="","",IF(AC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>794</v>
      </c>
      <c r="R8" s="1455"/>
      <c r="S8" s="1454"/>
      <c r="T8" s="1454"/>
      <c r="U8" s="1107" cm="1">
        <f t="array" ref="U8">IF(L8="","",IF(M8=AD8,1,Slookup(MID(AD8,1,3)*1,UomConversion!$D$8:$J$500,5,UomConversion!$E$8:$E$500,MID(M8,1,3)*1,UomConversion!$J$8:$J$500,1)))</f>
        <v>72</v>
      </c>
      <c r="V8" s="732">
        <f t="shared" ref="V8" si="1">IF(AND(L8="",ISNA(VLOOKUP(I8,product_list,19,FALSE))),"",VLOOKUP(I8,product_list,19,FALSE))</f>
        <v>72</v>
      </c>
      <c r="W8" s="1104">
        <f>IF(L8="","",IF(M8=AD8,X8,IF(M8=AE8,ROUNDUP(X8/U8,2),IF(M8=AF8,ROUNDUP(X8/V8,2)))))</f>
        <v>0.25</v>
      </c>
      <c r="X8" s="1104">
        <f t="shared" ref="X8" si="2">IF(L8="","",VLOOKUP(I8,product_list,12,FALSE))</f>
        <v>18</v>
      </c>
      <c r="Y8" s="732">
        <f>IF(I8="","",IF(ISNA(MATCH(I8,IF(MID(N8,1,3)*1=1,'[1]1_inventory_totals'!$C$8:$C$10000,IF(MID(N8,1,3)*1=2,'[1]2_inventory_totals'!$C$8:$C$10000,"")),0)),0,IF(AK8&gt;0,1,0)))</f>
        <v>1</v>
      </c>
      <c r="Z8" s="732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794</v>
      </c>
      <c r="AA8" s="732">
        <f>IF(L8="","",IF(ISNA(MATCH(I8,'[1]1_group_totals'!$C$8:$C$10000)),0,IF(AL8&gt;0,1,0)))</f>
        <v>1</v>
      </c>
      <c r="AB8" s="511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794</v>
      </c>
      <c r="AC8" s="511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>1010</v>
      </c>
      <c r="AD8" s="511" t="str">
        <f t="shared" ref="AD8" si="3">IF(L8="","",VLOOKUP(I8,product_list,11,FALSE))</f>
        <v>014.Case/6boxs</v>
      </c>
      <c r="AE8" s="511" t="str">
        <f>IF(ISNA(MATCH(MID(AD8,1,3)*1,UomConversion!$D$8:$D$500,0)),"",IF(AI8&lt;&gt;"",AI8,""))</f>
        <v>009.Box</v>
      </c>
      <c r="AF8" s="511" t="str">
        <f>IF(AND(AG8&gt;0,COUNTIFS(UomConversion!$D$8:$D$500,MID(AD8,1,3)*1,UomConversion!$J$8:$J$500,1)&gt;1),TEXT(AG8,"000")&amp;"."&amp;VLOOKUP(AG8,uom_list,4,FALSE),"")</f>
        <v>002.PCS</v>
      </c>
      <c r="AG8" s="511">
        <f>IF(AND(L8&lt;&gt;"",AJ8&gt;0),AJ8,"")</f>
        <v>2</v>
      </c>
      <c r="AH8" s="511">
        <f>IF(L8="","",IF(U8&gt;0,V8/U8,""))</f>
        <v>1</v>
      </c>
      <c r="AI8" s="126" t="str">
        <f t="shared" ref="AI8" si="4">IF(OR(ISNA(VLOOKUP(MID(AD8,1,3)*1,uom_converion_list,2,FALSE)),L8=""),"",TEXT(VLOOKUP(MID(AD8,1,3)*1,uom_converion_list,2,FALSE),"000")&amp;"."&amp;VLOOKUP(VLOOKUP(MID(AD8,1,3)*1,uom_converion_list,2,FALSE),uom_list,4,FALSE))</f>
        <v>009.Box</v>
      </c>
      <c r="AJ8" s="126" cm="1">
        <f t="array" ref="AJ8">IF(L8="","",Slookup(MID(AD8,1,3)*1,UomConversion!$D$8:$J$500,2,UomConversion!$I$8:$I$500,1,UomConversion!$J$8:$J$500,1))</f>
        <v>2</v>
      </c>
      <c r="AK8" s="126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>1010</v>
      </c>
      <c r="AL8" s="126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>1010</v>
      </c>
    </row>
    <row r="9" spans="1:72" ht="27" customHeight="1">
      <c r="A9" s="765"/>
      <c r="B9" s="1358"/>
      <c r="C9" s="937">
        <v>46184</v>
      </c>
      <c r="D9" s="1211">
        <f>IFERROR(IF(adj_date="","",IF(AND(DAY(adj_date)&gt;0,DAY(adj_date)&lt;8),1,IF(AND(DAY(adj_date)&gt;7,DAY(adj_date)&lt;15),2,IF(AND(DAY(adj_date)&gt;14,DAY(adj_date)&lt;22),3,IF(AND(DAY(adj_date)&gt;21,DAY(adj_date)&lt;32),4,""))))),"")</f>
        <v>2</v>
      </c>
      <c r="E9" s="1097" t="str">
        <f>RIGHT(YEAR(C9),2)&amp;"ADJ"&amp;TEXT(adj_no,"000000")</f>
        <v>26ADJ000005</v>
      </c>
      <c r="F9" s="1365">
        <f>COUNTIFS([1]InvAdjData!$L$8:$L$10000,"&gt;0")+1</f>
        <v>5</v>
      </c>
      <c r="G9" s="213"/>
      <c r="I9" s="426" t="str">
        <f t="shared" ref="I9:I72" si="5">IF(L9="","",MID(L9,1,5)*1)</f>
        <v/>
      </c>
      <c r="J9" s="909" t="str">
        <f t="shared" ref="J9:J24" si="6">IF(L9="","",J8+1)</f>
        <v/>
      </c>
      <c r="K9" s="1110" t="str">
        <f t="shared" si="0"/>
        <v/>
      </c>
      <c r="L9" s="1476"/>
      <c r="M9" s="1454"/>
      <c r="N9" s="1454"/>
      <c r="O9" s="1454"/>
      <c r="P9" s="1454" t="str">
        <f t="shared" ref="P9:P39" si="7">IF(AND(adj_type&lt;&gt;"",L9&lt;&gt;"",M9&lt;&gt;""),IF(adj_type=1,O9*V9/U9,O9*V9/U9-Q9),"")</f>
        <v/>
      </c>
      <c r="Q9" s="1454" t="str">
        <f>IF(L9="","",IF(AC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455"/>
      <c r="S9" s="1454"/>
      <c r="T9" s="1454"/>
      <c r="U9" s="1107" t="str" cm="1">
        <f t="array" ref="U9">IF(L9="","",IF(M9=AD9,1,Slookup(MID(AD9,1,3)*1,UomConversion!$D$8:$J$500,5,UomConversion!$E$8:$E$500,MID(M9,1,3)*1,UomConversion!$J$8:$J$500,1)))</f>
        <v/>
      </c>
      <c r="V9" s="732" t="str">
        <f t="shared" ref="V9:V72" si="8">IF(AND(L9="",ISNA(VLOOKUP(I9,product_list,19,FALSE))),"",VLOOKUP(I9,product_list,19,FALSE))</f>
        <v/>
      </c>
      <c r="W9" s="1104" t="str">
        <f t="shared" ref="W9:W72" si="9">IF(L9="","",IF(M9=AD9,X9,IF(M9=AE9,ROUNDUP(X9/U9,2),IF(M9=AF9,ROUNDUP(X9/V9,2)))))</f>
        <v/>
      </c>
      <c r="X9" s="1104" t="str">
        <f t="shared" ref="X9:X72" si="10">IF(L9="","",VLOOKUP(I9,product_list,12,FALSE))</f>
        <v/>
      </c>
      <c r="Y9" s="732" t="str">
        <f>IF(I9="","",IF(ISNA(MATCH(I9,IF(MID(N9,1,3)*1=1,'[1]1_inventory_totals'!$C$8:$C$10000,IF(MID(N9,1,3)*1=2,'[1]2_inventory_totals'!$C$8:$C$10000,"")),0)),0,IF(AK9&gt;0,1,0)))</f>
        <v/>
      </c>
      <c r="Z9" s="732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A9" s="732" t="str">
        <f>IF(L9="","",IF(ISNA(MATCH(I9,'[1]1_group_totals'!$C$8:$C$10000)),0,IF(AL9&gt;0,1,0)))</f>
        <v/>
      </c>
      <c r="AB9" s="511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511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D9" s="511" t="str">
        <f t="shared" ref="AD9:AD72" si="11">IF(L9="","",VLOOKUP(I9,product_list,11,FALSE))</f>
        <v/>
      </c>
      <c r="AE9" s="511" t="str">
        <f>IF(ISNA(MATCH(MID(AD9,1,3)*1,UomConversion!$D$8:$D$500,0)),"",IF(AI9&lt;&gt;"",AI9,""))</f>
        <v/>
      </c>
      <c r="AF9" s="511" t="str">
        <f>IF(AND(AG9&gt;0,COUNTIFS(UomConversion!$D$8:$D$500,MID(AD9,1,3)*1,UomConversion!$J$8:$J$500,1)&gt;1),TEXT(AG9,"000")&amp;"."&amp;VLOOKUP(AG9,uom_list,4,FALSE),"")</f>
        <v/>
      </c>
      <c r="AG9" s="511" t="str">
        <f t="shared" ref="AG9:AG72" si="12">IF(AND(L9&lt;&gt;"",AJ9&gt;0),AJ9,"")</f>
        <v/>
      </c>
      <c r="AH9" s="511" t="str">
        <f t="shared" ref="AH9:AH72" si="13">IF(L9="","",IF(U9&gt;0,V9/U9,""))</f>
        <v/>
      </c>
      <c r="AI9" s="126" t="str">
        <f t="shared" ref="AI9:AI72" si="14">IF(OR(ISNA(VLOOKUP(MID(AD9,1,3)*1,uom_converion_list,2,FALSE)),L9=""),"",TEXT(VLOOKUP(MID(AD9,1,3)*1,uom_converion_list,2,FALSE),"000")&amp;"."&amp;VLOOKUP(VLOOKUP(MID(AD9,1,3)*1,uom_converion_list,2,FALSE),uom_list,4,FALSE))</f>
        <v/>
      </c>
      <c r="AJ9" s="126" t="str" cm="1">
        <f t="array" ref="AJ9">IF(L9="","",Slookup(MID(AD9,1,3)*1,UomConversion!$D$8:$J$500,2,UomConversion!$I$8:$I$500,1,UomConversion!$J$8:$J$500,1))</f>
        <v/>
      </c>
      <c r="AK9" s="126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L9" s="126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M9" s="128"/>
      <c r="AN9" s="128"/>
    </row>
    <row r="10" spans="1:72" ht="27" customHeight="1">
      <c r="A10" s="765"/>
      <c r="B10" s="1358"/>
      <c r="C10" s="945" t="s">
        <v>2582</v>
      </c>
      <c r="E10" s="945" t="s">
        <v>2366</v>
      </c>
      <c r="F10" s="1457"/>
      <c r="I10" s="426" t="str">
        <f t="shared" si="5"/>
        <v/>
      </c>
      <c r="J10" s="909" t="str">
        <f t="shared" si="6"/>
        <v/>
      </c>
      <c r="K10" s="1110" t="str">
        <f t="shared" si="0"/>
        <v/>
      </c>
      <c r="L10" s="1476"/>
      <c r="M10" s="1454"/>
      <c r="N10" s="1454"/>
      <c r="O10" s="1454"/>
      <c r="P10" s="1454" t="str">
        <f t="shared" si="7"/>
        <v/>
      </c>
      <c r="Q10" s="1454" t="str">
        <f>IF(L10="","",IF(AC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455"/>
      <c r="S10" s="1454"/>
      <c r="T10" s="1454"/>
      <c r="U10" s="1107" t="str" cm="1">
        <f t="array" ref="U10">IF(L10="","",IF(M10=AD10,1,Slookup(MID(AD10,1,3)*1,UomConversion!$D$8:$J$500,5,UomConversion!$E$8:$E$500,MID(M10,1,3)*1,UomConversion!$J$8:$J$500,1)))</f>
        <v/>
      </c>
      <c r="V10" s="732" t="str">
        <f t="shared" si="8"/>
        <v/>
      </c>
      <c r="W10" s="1104" t="str">
        <f t="shared" si="9"/>
        <v/>
      </c>
      <c r="X10" s="1104" t="str">
        <f t="shared" si="10"/>
        <v/>
      </c>
      <c r="Y10" s="732" t="str">
        <f>IF(I10="","",IF(ISNA(MATCH(I10,IF(MID(N10,1,3)*1=1,'[1]1_inventory_totals'!$C$8:$C$10000,IF(MID(N10,1,3)*1=2,'[1]2_inventory_totals'!$C$8:$C$10000,"")),0)),0,IF(AK10&gt;0,1,0)))</f>
        <v/>
      </c>
      <c r="Z10" s="732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A10" s="732" t="str">
        <f>IF(L10="","",IF(ISNA(MATCH(I10,'[1]1_group_totals'!$C$8:$C$10000)),0,IF(AL10&gt;0,1,0)))</f>
        <v/>
      </c>
      <c r="AB10" s="511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511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D10" s="511" t="str">
        <f t="shared" si="11"/>
        <v/>
      </c>
      <c r="AE10" s="511" t="str">
        <f>IF(ISNA(MATCH(MID(AD10,1,3)*1,UomConversion!$D$8:$D$500,0)),"",IF(AI10&lt;&gt;"",AI10,""))</f>
        <v/>
      </c>
      <c r="AF10" s="511" t="str">
        <f>IF(AND(AG10&gt;0,COUNTIFS(UomConversion!$D$8:$D$500,MID(AD10,1,3)*1,UomConversion!$J$8:$J$500,1)&gt;1),TEXT(AG10,"000")&amp;"."&amp;VLOOKUP(AG10,uom_list,4,FALSE),"")</f>
        <v/>
      </c>
      <c r="AG10" s="511" t="str">
        <f t="shared" si="12"/>
        <v/>
      </c>
      <c r="AH10" s="511" t="str">
        <f t="shared" si="13"/>
        <v/>
      </c>
      <c r="AI10" s="126" t="str">
        <f t="shared" si="14"/>
        <v/>
      </c>
      <c r="AJ10" s="126" t="str" cm="1">
        <f t="array" ref="AJ10">IF(L10="","",Slookup(MID(AD10,1,3)*1,UomConversion!$D$8:$J$500,2,UomConversion!$I$8:$I$500,1,UomConversion!$J$8:$J$500,1))</f>
        <v/>
      </c>
      <c r="AK10" s="126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L10" s="126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M10" s="128"/>
      <c r="AN10" s="128"/>
    </row>
    <row r="11" spans="1:72" ht="27" customHeight="1">
      <c r="A11" s="765"/>
      <c r="B11" s="1358"/>
      <c r="C11" s="1289" t="s">
        <v>2578</v>
      </c>
      <c r="D11" s="1458">
        <f>MID(C11,1,3)*1</f>
        <v>1</v>
      </c>
      <c r="E11" s="1456" t="s">
        <v>2649</v>
      </c>
      <c r="F11" s="1459"/>
      <c r="G11" s="213"/>
      <c r="I11" s="426" t="str">
        <f t="shared" si="5"/>
        <v/>
      </c>
      <c r="J11" s="909" t="str">
        <f t="shared" si="6"/>
        <v/>
      </c>
      <c r="K11" s="1110" t="str">
        <f t="shared" si="0"/>
        <v/>
      </c>
      <c r="L11" s="1476"/>
      <c r="M11" s="1454"/>
      <c r="N11" s="1454"/>
      <c r="O11" s="1454"/>
      <c r="P11" s="1454" t="str">
        <f t="shared" si="7"/>
        <v/>
      </c>
      <c r="Q11" s="1454" t="str">
        <f>IF(L11="","",IF(AC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455"/>
      <c r="S11" s="1454"/>
      <c r="T11" s="1454"/>
      <c r="U11" s="1107" t="str" cm="1">
        <f t="array" ref="U11">IF(L11="","",IF(M11=AD11,1,Slookup(MID(AD11,1,3)*1,UomConversion!$D$8:$J$500,5,UomConversion!$E$8:$E$500,MID(M11,1,3)*1,UomConversion!$J$8:$J$500,1)))</f>
        <v/>
      </c>
      <c r="V11" s="732" t="str">
        <f t="shared" si="8"/>
        <v/>
      </c>
      <c r="W11" s="1104" t="str">
        <f t="shared" si="9"/>
        <v/>
      </c>
      <c r="X11" s="1104" t="str">
        <f t="shared" si="10"/>
        <v/>
      </c>
      <c r="Y11" s="732" t="str">
        <f>IF(I11="","",IF(ISNA(MATCH(I11,IF(MID(N11,1,3)*1=1,'[1]1_inventory_totals'!$C$8:$C$10000,IF(MID(N11,1,3)*1=2,'[1]2_inventory_totals'!$C$8:$C$10000,"")),0)),0,IF(AK11&gt;0,1,0)))</f>
        <v/>
      </c>
      <c r="Z11" s="732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A11" s="732" t="str">
        <f>IF(L11="","",IF(ISNA(MATCH(I11,'[1]1_group_totals'!$C$8:$C$10000)),0,IF(AL11&gt;0,1,0)))</f>
        <v/>
      </c>
      <c r="AB11" s="511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511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D11" s="511" t="str">
        <f t="shared" si="11"/>
        <v/>
      </c>
      <c r="AE11" s="511" t="str">
        <f>IF(ISNA(MATCH(MID(AD11,1,3)*1,UomConversion!$D$8:$D$500,0)),"",IF(AI11&lt;&gt;"",AI11,""))</f>
        <v/>
      </c>
      <c r="AF11" s="511" t="str">
        <f>IF(AND(AG11&gt;0,COUNTIFS(UomConversion!$D$8:$D$500,MID(AD11,1,3)*1,UomConversion!$J$8:$J$500,1)&gt;1),TEXT(AG11,"000")&amp;"."&amp;VLOOKUP(AG11,uom_list,4,FALSE),"")</f>
        <v/>
      </c>
      <c r="AG11" s="511" t="str">
        <f t="shared" si="12"/>
        <v/>
      </c>
      <c r="AH11" s="511" t="str">
        <f t="shared" si="13"/>
        <v/>
      </c>
      <c r="AI11" s="126" t="str">
        <f t="shared" si="14"/>
        <v/>
      </c>
      <c r="AJ11" s="126" t="str" cm="1">
        <f t="array" ref="AJ11">IF(L11="","",Slookup(MID(AD11,1,3)*1,UomConversion!$D$8:$J$500,2,UomConversion!$I$8:$I$500,1,UomConversion!$J$8:$J$500,1))</f>
        <v/>
      </c>
      <c r="AK11" s="126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L11" s="126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M11" s="128"/>
      <c r="AN11" s="128"/>
    </row>
    <row r="12" spans="1:72" ht="27" customHeight="1">
      <c r="A12" s="765"/>
      <c r="B12" s="1358"/>
      <c r="C12" s="945" t="s">
        <v>1829</v>
      </c>
      <c r="D12" s="1460"/>
      <c r="E12" s="458" t="str">
        <f>IF(OR(ISNA(MATCH(E11*1,#REF!,0)),adj_type=2),"not exist","exist")</f>
        <v>exist</v>
      </c>
      <c r="F12" s="1363"/>
      <c r="G12" s="213"/>
      <c r="I12" s="426" t="str">
        <f t="shared" si="5"/>
        <v/>
      </c>
      <c r="J12" s="909" t="str">
        <f t="shared" si="6"/>
        <v/>
      </c>
      <c r="K12" s="1110" t="str">
        <f t="shared" si="0"/>
        <v/>
      </c>
      <c r="L12" s="1476"/>
      <c r="M12" s="1454"/>
      <c r="N12" s="1454"/>
      <c r="O12" s="1454"/>
      <c r="P12" s="1454" t="str">
        <f t="shared" si="7"/>
        <v/>
      </c>
      <c r="Q12" s="1454" t="str">
        <f>IF(L12="","",IF(AC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455"/>
      <c r="S12" s="1454"/>
      <c r="T12" s="1454"/>
      <c r="U12" s="1107" t="str" cm="1">
        <f t="array" ref="U12">IF(L12="","",IF(M12=AD12,1,Slookup(MID(AD12,1,3)*1,UomConversion!$D$8:$J$500,5,UomConversion!$E$8:$E$500,MID(M12,1,3)*1,UomConversion!$J$8:$J$500,1)))</f>
        <v/>
      </c>
      <c r="V12" s="732" t="str">
        <f t="shared" si="8"/>
        <v/>
      </c>
      <c r="W12" s="1104" t="str">
        <f t="shared" si="9"/>
        <v/>
      </c>
      <c r="X12" s="1104" t="str">
        <f t="shared" si="10"/>
        <v/>
      </c>
      <c r="Y12" s="732" t="str">
        <f>IF(I12="","",IF(ISNA(MATCH(I12,IF(MID(N12,1,3)*1=1,'[1]1_inventory_totals'!$C$8:$C$10000,IF(MID(N12,1,3)*1=2,'[1]2_inventory_totals'!$C$8:$C$10000,"")),0)),0,IF(AK12&gt;0,1,0)))</f>
        <v/>
      </c>
      <c r="Z12" s="732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A12" s="732" t="str">
        <f>IF(L12="","",IF(ISNA(MATCH(I12,'[1]1_group_totals'!$C$8:$C$10000)),0,IF(AL12&gt;0,1,0)))</f>
        <v/>
      </c>
      <c r="AB12" s="511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511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D12" s="511" t="str">
        <f t="shared" si="11"/>
        <v/>
      </c>
      <c r="AE12" s="511" t="str">
        <f>IF(ISNA(MATCH(MID(AD12,1,3)*1,UomConversion!$D$8:$D$500,0)),"",IF(AI12&lt;&gt;"",AI12,""))</f>
        <v/>
      </c>
      <c r="AF12" s="511" t="str">
        <f>IF(AND(AG12&gt;0,COUNTIFS(UomConversion!$D$8:$D$500,MID(AD12,1,3)*1,UomConversion!$J$8:$J$500,1)&gt;1),TEXT(AG12,"000")&amp;"."&amp;VLOOKUP(AG12,uom_list,4,FALSE),"")</f>
        <v/>
      </c>
      <c r="AG12" s="511" t="str">
        <f t="shared" si="12"/>
        <v/>
      </c>
      <c r="AH12" s="511" t="str">
        <f t="shared" si="13"/>
        <v/>
      </c>
      <c r="AI12" s="126" t="str">
        <f t="shared" si="14"/>
        <v/>
      </c>
      <c r="AJ12" s="126" t="str" cm="1">
        <f t="array" ref="AJ12">IF(L12="","",Slookup(MID(AD12,1,3)*1,UomConversion!$D$8:$J$500,2,UomConversion!$I$8:$I$500,1,UomConversion!$J$8:$J$500,1))</f>
        <v/>
      </c>
      <c r="AK12" s="126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L12" s="126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M12" s="128"/>
      <c r="AN12" s="128"/>
    </row>
    <row r="13" spans="1:72" ht="27" customHeight="1">
      <c r="A13" s="765"/>
      <c r="B13" s="1358"/>
      <c r="C13" s="1606" t="s">
        <v>2400</v>
      </c>
      <c r="D13" s="1607"/>
      <c r="E13" s="1608"/>
      <c r="F13" s="1365">
        <f>MID(C13,1,2)*1</f>
        <v>1</v>
      </c>
      <c r="G13" s="213"/>
      <c r="I13" s="426" t="str">
        <f t="shared" si="5"/>
        <v/>
      </c>
      <c r="J13" s="909" t="str">
        <f t="shared" si="6"/>
        <v/>
      </c>
      <c r="K13" s="1110" t="str">
        <f t="shared" si="0"/>
        <v/>
      </c>
      <c r="L13" s="1476"/>
      <c r="M13" s="1454"/>
      <c r="N13" s="1454"/>
      <c r="O13" s="1454"/>
      <c r="P13" s="1454" t="str">
        <f t="shared" si="7"/>
        <v/>
      </c>
      <c r="Q13" s="1454" t="str">
        <f>IF(L13="","",IF(AC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455"/>
      <c r="S13" s="1454"/>
      <c r="T13" s="1454"/>
      <c r="U13" s="1107" t="str" cm="1">
        <f t="array" ref="U13">IF(L13="","",IF(M13=AD13,1,Slookup(MID(AD13,1,3)*1,UomConversion!$D$8:$J$500,5,UomConversion!$E$8:$E$500,MID(M13,1,3)*1,UomConversion!$J$8:$J$500,1)))</f>
        <v/>
      </c>
      <c r="V13" s="732" t="str">
        <f t="shared" si="8"/>
        <v/>
      </c>
      <c r="W13" s="1104" t="str">
        <f>IF(L13="","",IF(M13=AD13,X13,IF(M13=AE13,ROUNDUP(X13/U13,2),IF(M13=AF13,ROUNDUP(X13/V13,2)))))</f>
        <v/>
      </c>
      <c r="X13" s="1104" t="str">
        <f t="shared" si="10"/>
        <v/>
      </c>
      <c r="Y13" s="732" t="str">
        <f>IF(I13="","",IF(ISNA(MATCH(I13,IF(MID(N13,1,3)*1=1,'[1]1_inventory_totals'!$C$8:$C$10000,IF(MID(N13,1,3)*1=2,'[1]2_inventory_totals'!$C$8:$C$10000,"")),0)),0,IF(AK13&gt;0,1,0)))</f>
        <v/>
      </c>
      <c r="Z13" s="732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A13" s="732" t="str">
        <f>IF(L13="","",IF(ISNA(MATCH(I13,'[1]1_group_totals'!$C$8:$C$10000)),0,IF(AL13&gt;0,1,0)))</f>
        <v/>
      </c>
      <c r="AB13" s="511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511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D13" s="511" t="str">
        <f t="shared" si="11"/>
        <v/>
      </c>
      <c r="AE13" s="511" t="str">
        <f>IF(ISNA(MATCH(MID(AD13,1,3)*1,UomConversion!$D$8:$D$500,0)),"",IF(AI13&lt;&gt;"",AI13,""))</f>
        <v/>
      </c>
      <c r="AF13" s="511" t="str">
        <f>IF(AND(AG13&gt;0,COUNTIFS(UomConversion!$D$8:$D$500,MID(AD13,1,3)*1,UomConversion!$J$8:$J$500,1)&gt;1),TEXT(AG13,"000")&amp;"."&amp;VLOOKUP(AG13,uom_list,4,FALSE),"")</f>
        <v/>
      </c>
      <c r="AG13" s="511" t="str">
        <f t="shared" si="12"/>
        <v/>
      </c>
      <c r="AH13" s="511" t="str">
        <f t="shared" si="13"/>
        <v/>
      </c>
      <c r="AI13" s="126" t="str">
        <f t="shared" si="14"/>
        <v/>
      </c>
      <c r="AJ13" s="126" t="str" cm="1">
        <f t="array" ref="AJ13">IF(L13="","",Slookup(MID(AD13,1,3)*1,UomConversion!$D$8:$J$500,2,UomConversion!$I$8:$I$500,1,UomConversion!$J$8:$J$500,1))</f>
        <v/>
      </c>
      <c r="AK13" s="126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L13" s="126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M13" s="128"/>
      <c r="AN13" s="128"/>
    </row>
    <row r="14" spans="1:72" ht="27" customHeight="1">
      <c r="A14" s="765"/>
      <c r="B14" s="1352"/>
      <c r="C14" s="945" t="s">
        <v>2364</v>
      </c>
      <c r="D14" s="1460"/>
      <c r="F14" s="1363"/>
      <c r="I14" s="426" t="str">
        <f t="shared" si="5"/>
        <v/>
      </c>
      <c r="J14" s="909" t="str">
        <f t="shared" si="6"/>
        <v/>
      </c>
      <c r="K14" s="1110" t="str">
        <f t="shared" si="0"/>
        <v/>
      </c>
      <c r="L14" s="1476"/>
      <c r="M14" s="1454"/>
      <c r="N14" s="1454"/>
      <c r="O14" s="1454"/>
      <c r="P14" s="1454" t="str">
        <f t="shared" si="7"/>
        <v/>
      </c>
      <c r="Q14" s="1454" t="str">
        <f>IF(L14="","",IF(AC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455"/>
      <c r="S14" s="1454"/>
      <c r="T14" s="1454"/>
      <c r="U14" s="1107" t="str" cm="1">
        <f t="array" ref="U14">IF(L14="","",IF(M14=AD14,1,Slookup(MID(AD14,1,3)*1,UomConversion!$D$8:$J$500,5,UomConversion!$E$8:$E$500,MID(M14,1,3)*1,UomConversion!$J$8:$J$500,1)))</f>
        <v/>
      </c>
      <c r="V14" s="732" t="str">
        <f t="shared" si="8"/>
        <v/>
      </c>
      <c r="W14" s="1104" t="str">
        <f t="shared" si="9"/>
        <v/>
      </c>
      <c r="X14" s="1104" t="str">
        <f t="shared" si="10"/>
        <v/>
      </c>
      <c r="Y14" s="732" t="str">
        <f>IF(I14="","",IF(ISNA(MATCH(I14,IF(MID(N14,1,3)*1=1,'[1]1_inventory_totals'!$C$8:$C$10000,IF(MID(N14,1,3)*1=2,'[1]2_inventory_totals'!$C$8:$C$10000,"")),0)),0,IF(AK14&gt;0,1,0)))</f>
        <v/>
      </c>
      <c r="Z14" s="732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A14" s="732" t="str">
        <f>IF(L14="","",IF(ISNA(MATCH(I14,'[1]1_group_totals'!$C$8:$C$10000)),0,IF(AL14&gt;0,1,0)))</f>
        <v/>
      </c>
      <c r="AB14" s="511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511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D14" s="511" t="str">
        <f t="shared" si="11"/>
        <v/>
      </c>
      <c r="AE14" s="511" t="str">
        <f>IF(ISNA(MATCH(MID(AD14,1,3)*1,UomConversion!$D$8:$D$500,0)),"",IF(AI14&lt;&gt;"",AI14,""))</f>
        <v/>
      </c>
      <c r="AF14" s="511" t="str">
        <f>IF(AND(AG14&gt;0,COUNTIFS(UomConversion!$D$8:$D$500,MID(AD14,1,3)*1,UomConversion!$J$8:$J$500,1)&gt;1),TEXT(AG14,"000")&amp;"."&amp;VLOOKUP(AG14,uom_list,4,FALSE),"")</f>
        <v/>
      </c>
      <c r="AG14" s="511" t="str">
        <f t="shared" si="12"/>
        <v/>
      </c>
      <c r="AH14" s="511" t="str">
        <f t="shared" si="13"/>
        <v/>
      </c>
      <c r="AI14" s="126" t="str">
        <f t="shared" si="14"/>
        <v/>
      </c>
      <c r="AJ14" s="126" t="str" cm="1">
        <f t="array" ref="AJ14">IF(L14="","",Slookup(MID(AD14,1,3)*1,UomConversion!$D$8:$J$500,2,UomConversion!$I$8:$I$500,1,UomConversion!$J$8:$J$500,1))</f>
        <v/>
      </c>
      <c r="AK14" s="126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L14" s="126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M14" s="128"/>
      <c r="AN14" s="128"/>
    </row>
    <row r="15" spans="1:72" ht="27" customHeight="1">
      <c r="A15" s="765"/>
      <c r="B15" s="1358"/>
      <c r="C15" s="1606" t="s">
        <v>2259</v>
      </c>
      <c r="D15" s="1607"/>
      <c r="E15" s="1608"/>
      <c r="F15" s="1365">
        <f>MID(adj_stock_creator,1,3)*1</f>
        <v>2</v>
      </c>
      <c r="G15" s="213"/>
      <c r="I15" s="426" t="str">
        <f t="shared" si="5"/>
        <v/>
      </c>
      <c r="J15" s="909" t="str">
        <f t="shared" si="6"/>
        <v/>
      </c>
      <c r="K15" s="1110" t="str">
        <f t="shared" si="0"/>
        <v/>
      </c>
      <c r="L15" s="1476"/>
      <c r="M15" s="1454"/>
      <c r="N15" s="1454"/>
      <c r="O15" s="1454"/>
      <c r="P15" s="1454" t="str">
        <f t="shared" si="7"/>
        <v/>
      </c>
      <c r="Q15" s="1454" t="str">
        <f>IF(L15="","",IF(AC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455"/>
      <c r="S15" s="1454"/>
      <c r="T15" s="1454"/>
      <c r="U15" s="1107" t="str" cm="1">
        <f t="array" ref="U15">IF(L15="","",IF(M15=AD15,1,Slookup(MID(AD15,1,3)*1,UomConversion!$D$8:$J$500,5,UomConversion!$E$8:$E$500,MID(M15,1,3)*1,UomConversion!$J$8:$J$500,1)))</f>
        <v/>
      </c>
      <c r="V15" s="732" t="str">
        <f t="shared" si="8"/>
        <v/>
      </c>
      <c r="W15" s="1104" t="str">
        <f t="shared" si="9"/>
        <v/>
      </c>
      <c r="X15" s="1104" t="str">
        <f t="shared" si="10"/>
        <v/>
      </c>
      <c r="Y15" s="732" t="str">
        <f>IF(I15="","",IF(ISNA(MATCH(I15,IF(MID(N15,1,3)*1=1,'[1]1_inventory_totals'!$C$8:$C$10000,IF(MID(N15,1,3)*1=2,'[1]2_inventory_totals'!$C$8:$C$10000,"")),0)),0,IF(AK15&gt;0,1,0)))</f>
        <v/>
      </c>
      <c r="Z15" s="732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A15" s="732" t="str">
        <f>IF(L15="","",IF(ISNA(MATCH(I15,'[1]1_group_totals'!$C$8:$C$10000)),0,IF(AL15&gt;0,1,0)))</f>
        <v/>
      </c>
      <c r="AB15" s="511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511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D15" s="511" t="str">
        <f t="shared" si="11"/>
        <v/>
      </c>
      <c r="AE15" s="511" t="str">
        <f>IF(ISNA(MATCH(MID(AD15,1,3)*1,UomConversion!$D$8:$D$500,0)),"",IF(AI15&lt;&gt;"",AI15,""))</f>
        <v/>
      </c>
      <c r="AF15" s="511" t="str">
        <f>IF(AND(AG15&gt;0,COUNTIFS(UomConversion!$D$8:$D$500,MID(AD15,1,3)*1,UomConversion!$J$8:$J$500,1)&gt;1),TEXT(AG15,"000")&amp;"."&amp;VLOOKUP(AG15,uom_list,4,FALSE),"")</f>
        <v/>
      </c>
      <c r="AG15" s="511" t="str">
        <f t="shared" si="12"/>
        <v/>
      </c>
      <c r="AH15" s="511" t="str">
        <f t="shared" si="13"/>
        <v/>
      </c>
      <c r="AI15" s="126" t="str">
        <f t="shared" si="14"/>
        <v/>
      </c>
      <c r="AJ15" s="126" t="str" cm="1">
        <f t="array" ref="AJ15">IF(L15="","",Slookup(MID(AD15,1,3)*1,UomConversion!$D$8:$J$500,2,UomConversion!$I$8:$I$500,1,UomConversion!$J$8:$J$500,1))</f>
        <v/>
      </c>
      <c r="AK15" s="126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L15" s="126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M15" s="128"/>
      <c r="AN15" s="128"/>
    </row>
    <row r="16" spans="1:72" ht="27" customHeight="1">
      <c r="A16" s="765"/>
      <c r="B16" s="1352"/>
      <c r="C16" s="945" t="s">
        <v>2625</v>
      </c>
      <c r="D16" s="1461"/>
      <c r="F16" s="1363"/>
      <c r="I16" s="426" t="str">
        <f t="shared" si="5"/>
        <v/>
      </c>
      <c r="J16" s="909" t="str">
        <f t="shared" si="6"/>
        <v/>
      </c>
      <c r="K16" s="1110" t="str">
        <f t="shared" si="0"/>
        <v/>
      </c>
      <c r="L16" s="1476"/>
      <c r="M16" s="1454"/>
      <c r="N16" s="1454"/>
      <c r="O16" s="1454"/>
      <c r="P16" s="1454" t="str">
        <f t="shared" si="7"/>
        <v/>
      </c>
      <c r="Q16" s="1454" t="str">
        <f>IF(L16="","",IF(AC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455"/>
      <c r="S16" s="1454"/>
      <c r="T16" s="1454"/>
      <c r="U16" s="1107" t="str" cm="1">
        <f t="array" ref="U16">IF(L16="","",IF(M16=AD16,1,Slookup(MID(AD16,1,3)*1,UomConversion!$D$8:$J$500,5,UomConversion!$E$8:$E$500,MID(M16,1,3)*1,UomConversion!$J$8:$J$500,1)))</f>
        <v/>
      </c>
      <c r="V16" s="732" t="str">
        <f t="shared" si="8"/>
        <v/>
      </c>
      <c r="W16" s="1104" t="str">
        <f t="shared" si="9"/>
        <v/>
      </c>
      <c r="X16" s="1104" t="str">
        <f t="shared" si="10"/>
        <v/>
      </c>
      <c r="Y16" s="732" t="str">
        <f>IF(I16="","",IF(ISNA(MATCH(I16,IF(MID(N16,1,3)*1=1,'[1]1_inventory_totals'!$C$8:$C$10000,IF(MID(N16,1,3)*1=2,'[1]2_inventory_totals'!$C$8:$C$10000,"")),0)),0,IF(AK16&gt;0,1,0)))</f>
        <v/>
      </c>
      <c r="Z16" s="732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A16" s="732" t="str">
        <f>IF(L16="","",IF(ISNA(MATCH(I16,'[1]1_group_totals'!$C$8:$C$10000)),0,IF(AL16&gt;0,1,0)))</f>
        <v/>
      </c>
      <c r="AB16" s="511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511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D16" s="511" t="str">
        <f t="shared" si="11"/>
        <v/>
      </c>
      <c r="AE16" s="511" t="str">
        <f>IF(ISNA(MATCH(MID(AD16,1,3)*1,UomConversion!$D$8:$D$500,0)),"",IF(AI16&lt;&gt;"",AI16,""))</f>
        <v/>
      </c>
      <c r="AF16" s="511" t="str">
        <f>IF(AND(AG16&gt;0,COUNTIFS(UomConversion!$D$8:$D$500,MID(AD16,1,3)*1,UomConversion!$J$8:$J$500,1)&gt;1),TEXT(AG16,"000")&amp;"."&amp;VLOOKUP(AG16,uom_list,4,FALSE),"")</f>
        <v/>
      </c>
      <c r="AG16" s="511" t="str">
        <f t="shared" si="12"/>
        <v/>
      </c>
      <c r="AH16" s="511" t="str">
        <f t="shared" si="13"/>
        <v/>
      </c>
      <c r="AI16" s="126" t="str">
        <f t="shared" si="14"/>
        <v/>
      </c>
      <c r="AJ16" s="126" t="str" cm="1">
        <f t="array" ref="AJ16">IF(L16="","",Slookup(MID(AD16,1,3)*1,UomConversion!$D$8:$J$500,2,UomConversion!$I$8:$I$500,1,UomConversion!$J$8:$J$500,1))</f>
        <v/>
      </c>
      <c r="AK16" s="126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L16" s="126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M16" s="128"/>
      <c r="AN16" s="128"/>
    </row>
    <row r="17" spans="1:40" ht="27" customHeight="1">
      <c r="A17" s="765"/>
      <c r="B17" s="1358"/>
      <c r="C17" s="1609" t="s">
        <v>2712</v>
      </c>
      <c r="D17" s="1610"/>
      <c r="E17" s="1611"/>
      <c r="F17" s="1365">
        <f>MID(C17,1,1)*1</f>
        <v>1</v>
      </c>
      <c r="G17" s="213"/>
      <c r="I17" s="426" t="str">
        <f t="shared" si="5"/>
        <v/>
      </c>
      <c r="J17" s="909" t="str">
        <f t="shared" si="6"/>
        <v/>
      </c>
      <c r="K17" s="1110" t="str">
        <f t="shared" si="0"/>
        <v/>
      </c>
      <c r="L17" s="1476"/>
      <c r="M17" s="1454"/>
      <c r="N17" s="1454"/>
      <c r="O17" s="1454"/>
      <c r="P17" s="1454" t="str">
        <f t="shared" si="7"/>
        <v/>
      </c>
      <c r="Q17" s="1454" t="str">
        <f>IF(L17="","",IF(AC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455"/>
      <c r="S17" s="1454"/>
      <c r="T17" s="1454"/>
      <c r="U17" s="1107" t="str" cm="1">
        <f t="array" ref="U17">IF(L17="","",IF(M17=AD17,1,Slookup(MID(AD17,1,3)*1,UomConversion!$D$8:$J$500,5,UomConversion!$E$8:$E$500,MID(M17,1,3)*1,UomConversion!$J$8:$J$500,1)))</f>
        <v/>
      </c>
      <c r="V17" s="732" t="str">
        <f t="shared" si="8"/>
        <v/>
      </c>
      <c r="W17" s="1104" t="str">
        <f t="shared" si="9"/>
        <v/>
      </c>
      <c r="X17" s="1104" t="str">
        <f t="shared" si="10"/>
        <v/>
      </c>
      <c r="Y17" s="732" t="str">
        <f>IF(I17="","",IF(ISNA(MATCH(I17,IF(MID(N17,1,3)*1=1,'[1]1_inventory_totals'!$C$8:$C$10000,IF(MID(N17,1,3)*1=2,'[1]2_inventory_totals'!$C$8:$C$10000,"")),0)),0,IF(AK17&gt;0,1,0)))</f>
        <v/>
      </c>
      <c r="Z17" s="732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A17" s="732" t="str">
        <f>IF(L17="","",IF(ISNA(MATCH(I17,'[1]1_group_totals'!$C$8:$C$10000)),0,IF(AL17&gt;0,1,0)))</f>
        <v/>
      </c>
      <c r="AB17" s="511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511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D17" s="511" t="str">
        <f t="shared" si="11"/>
        <v/>
      </c>
      <c r="AE17" s="511" t="str">
        <f>IF(ISNA(MATCH(MID(AD17,1,3)*1,UomConversion!$D$8:$D$500,0)),"",IF(AI17&lt;&gt;"",AI17,""))</f>
        <v/>
      </c>
      <c r="AF17" s="511" t="str">
        <f>IF(AND(AG17&gt;0,COUNTIFS(UomConversion!$D$8:$D$500,MID(AD17,1,3)*1,UomConversion!$J$8:$J$500,1)&gt;1),TEXT(AG17,"000")&amp;"."&amp;VLOOKUP(AG17,uom_list,4,FALSE),"")</f>
        <v/>
      </c>
      <c r="AG17" s="511" t="str">
        <f t="shared" si="12"/>
        <v/>
      </c>
      <c r="AH17" s="511" t="str">
        <f t="shared" si="13"/>
        <v/>
      </c>
      <c r="AI17" s="126" t="str">
        <f t="shared" si="14"/>
        <v/>
      </c>
      <c r="AJ17" s="126" t="str" cm="1">
        <f t="array" ref="AJ17">IF(L17="","",Slookup(MID(AD17,1,3)*1,UomConversion!$D$8:$J$500,2,UomConversion!$I$8:$I$500,1,UomConversion!$J$8:$J$500,1))</f>
        <v/>
      </c>
      <c r="AK17" s="126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L17" s="126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M17" s="128"/>
      <c r="AN17" s="128"/>
    </row>
    <row r="18" spans="1:40" ht="27" customHeight="1">
      <c r="A18" s="765"/>
      <c r="B18" s="1358"/>
      <c r="C18" s="945" t="s">
        <v>2167</v>
      </c>
      <c r="D18" s="1462"/>
      <c r="E18" s="923"/>
      <c r="F18" s="1367"/>
      <c r="G18" s="213"/>
      <c r="I18" s="426" t="str">
        <f t="shared" si="5"/>
        <v/>
      </c>
      <c r="J18" s="909" t="str">
        <f t="shared" si="6"/>
        <v/>
      </c>
      <c r="K18" s="1110" t="str">
        <f t="shared" si="0"/>
        <v/>
      </c>
      <c r="L18" s="1476"/>
      <c r="M18" s="1454"/>
      <c r="N18" s="1454"/>
      <c r="O18" s="1454"/>
      <c r="P18" s="1454" t="str">
        <f t="shared" si="7"/>
        <v/>
      </c>
      <c r="Q18" s="1454" t="str">
        <f>IF(L18="","",IF(AC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455"/>
      <c r="S18" s="1454"/>
      <c r="T18" s="1454"/>
      <c r="U18" s="1107" t="str" cm="1">
        <f t="array" ref="U18">IF(L18="","",IF(M18=AD18,1,Slookup(MID(AD18,1,3)*1,UomConversion!$D$8:$J$500,5,UomConversion!$E$8:$E$500,MID(M18,1,3)*1,UomConversion!$J$8:$J$500,1)))</f>
        <v/>
      </c>
      <c r="V18" s="732" t="str">
        <f t="shared" si="8"/>
        <v/>
      </c>
      <c r="W18" s="1104" t="str">
        <f t="shared" si="9"/>
        <v/>
      </c>
      <c r="X18" s="1104" t="str">
        <f t="shared" si="10"/>
        <v/>
      </c>
      <c r="Y18" s="732" t="str">
        <f>IF(I18="","",IF(ISNA(MATCH(I18,IF(MID(N18,1,3)*1=1,'[1]1_inventory_totals'!$C$8:$C$10000,IF(MID(N18,1,3)*1=2,'[1]2_inventory_totals'!$C$8:$C$10000,"")),0)),0,IF(AK18&gt;0,1,0)))</f>
        <v/>
      </c>
      <c r="Z18" s="732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A18" s="732" t="str">
        <f>IF(L18="","",IF(ISNA(MATCH(I18,'[1]1_group_totals'!$C$8:$C$10000)),0,IF(AL18&gt;0,1,0)))</f>
        <v/>
      </c>
      <c r="AB18" s="511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511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D18" s="511" t="str">
        <f t="shared" si="11"/>
        <v/>
      </c>
      <c r="AE18" s="511" t="str">
        <f>IF(ISNA(MATCH(MID(AD18,1,3)*1,UomConversion!$D$8:$D$500,0)),"",IF(AI18&lt;&gt;"",AI18,""))</f>
        <v/>
      </c>
      <c r="AF18" s="511" t="str">
        <f>IF(AND(AG18&gt;0,COUNTIFS(UomConversion!$D$8:$D$500,MID(AD18,1,3)*1,UomConversion!$J$8:$J$500,1)&gt;1),TEXT(AG18,"000")&amp;"."&amp;VLOOKUP(AG18,uom_list,4,FALSE),"")</f>
        <v/>
      </c>
      <c r="AG18" s="511" t="str">
        <f t="shared" si="12"/>
        <v/>
      </c>
      <c r="AH18" s="511" t="str">
        <f t="shared" si="13"/>
        <v/>
      </c>
      <c r="AI18" s="126" t="str">
        <f t="shared" si="14"/>
        <v/>
      </c>
      <c r="AJ18" s="126" t="str" cm="1">
        <f t="array" ref="AJ18">IF(L18="","",Slookup(MID(AD18,1,3)*1,UomConversion!$D$8:$J$500,2,UomConversion!$I$8:$I$500,1,UomConversion!$J$8:$J$500,1))</f>
        <v/>
      </c>
      <c r="AK18" s="126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L18" s="126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M18" s="128"/>
      <c r="AN18" s="128"/>
    </row>
    <row r="19" spans="1:40" ht="27" customHeight="1">
      <c r="A19" s="765"/>
      <c r="B19" s="1358"/>
      <c r="C19" s="1612" t="s">
        <v>2377</v>
      </c>
      <c r="D19" s="1613"/>
      <c r="E19" s="1112" t="str">
        <f>VLOOKUP(adj_chart_account_id,chart_account_list,6,FALSE)</f>
        <v>Equity</v>
      </c>
      <c r="F19" s="1463">
        <f>VLOOKUP(MID(C19,1,3)*1,chart_account_default_list,5,FALSE)</f>
        <v>9</v>
      </c>
      <c r="G19" s="213"/>
      <c r="I19" s="426" t="str">
        <f t="shared" si="5"/>
        <v/>
      </c>
      <c r="J19" s="909" t="str">
        <f t="shared" si="6"/>
        <v/>
      </c>
      <c r="K19" s="1110" t="str">
        <f t="shared" si="0"/>
        <v/>
      </c>
      <c r="L19" s="1476"/>
      <c r="M19" s="1454"/>
      <c r="N19" s="1454"/>
      <c r="O19" s="1454"/>
      <c r="P19" s="1454" t="str">
        <f t="shared" si="7"/>
        <v/>
      </c>
      <c r="Q19" s="1454" t="str">
        <f>IF(L19="","",IF(AC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455"/>
      <c r="S19" s="1454"/>
      <c r="T19" s="1454"/>
      <c r="U19" s="1107" t="str" cm="1">
        <f t="array" ref="U19">IF(L19="","",IF(M19=AD19,1,Slookup(MID(AD19,1,3)*1,UomConversion!$D$8:$J$500,5,UomConversion!$E$8:$E$500,MID(M19,1,3)*1,UomConversion!$J$8:$J$500,1)))</f>
        <v/>
      </c>
      <c r="V19" s="732" t="str">
        <f t="shared" si="8"/>
        <v/>
      </c>
      <c r="W19" s="1104" t="str">
        <f t="shared" si="9"/>
        <v/>
      </c>
      <c r="X19" s="1104" t="str">
        <f t="shared" si="10"/>
        <v/>
      </c>
      <c r="Y19" s="732" t="str">
        <f>IF(I19="","",IF(ISNA(MATCH(I19,IF(MID(N19,1,3)*1=1,'[1]1_inventory_totals'!$C$8:$C$10000,IF(MID(N19,1,3)*1=2,'[1]2_inventory_totals'!$C$8:$C$10000,"")),0)),0,IF(AK19&gt;0,1,0)))</f>
        <v/>
      </c>
      <c r="Z19" s="732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A19" s="732" t="str">
        <f>IF(L19="","",IF(ISNA(MATCH(I19,'[1]1_group_totals'!$C$8:$C$10000)),0,IF(AL19&gt;0,1,0)))</f>
        <v/>
      </c>
      <c r="AB19" s="511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511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D19" s="511" t="str">
        <f t="shared" si="11"/>
        <v/>
      </c>
      <c r="AE19" s="511" t="str">
        <f>IF(ISNA(MATCH(MID(AD19,1,3)*1,UomConversion!$D$8:$D$500,0)),"",IF(AI19&lt;&gt;"",AI19,""))</f>
        <v/>
      </c>
      <c r="AF19" s="511" t="str">
        <f>IF(AND(AG19&gt;0,COUNTIFS(UomConversion!$D$8:$D$500,MID(AD19,1,3)*1,UomConversion!$J$8:$J$500,1)&gt;1),TEXT(AG19,"000")&amp;"."&amp;VLOOKUP(AG19,uom_list,4,FALSE),"")</f>
        <v/>
      </c>
      <c r="AG19" s="511" t="str">
        <f t="shared" si="12"/>
        <v/>
      </c>
      <c r="AH19" s="511" t="str">
        <f t="shared" si="13"/>
        <v/>
      </c>
      <c r="AI19" s="126" t="str">
        <f t="shared" si="14"/>
        <v/>
      </c>
      <c r="AJ19" s="126" t="str" cm="1">
        <f t="array" ref="AJ19">IF(L19="","",Slookup(MID(AD19,1,3)*1,UomConversion!$D$8:$J$500,2,UomConversion!$I$8:$I$500,1,UomConversion!$J$8:$J$500,1))</f>
        <v/>
      </c>
      <c r="AK19" s="126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L19" s="126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M19" s="128"/>
      <c r="AN19" s="128"/>
    </row>
    <row r="20" spans="1:40" ht="27" customHeight="1">
      <c r="A20" s="765"/>
      <c r="B20" s="1352"/>
      <c r="E20" s="1464"/>
      <c r="F20" s="1465"/>
      <c r="I20" s="426" t="str">
        <f t="shared" si="5"/>
        <v/>
      </c>
      <c r="J20" s="909" t="str">
        <f t="shared" si="6"/>
        <v/>
      </c>
      <c r="K20" s="1110" t="str">
        <f t="shared" si="0"/>
        <v/>
      </c>
      <c r="L20" s="1476"/>
      <c r="M20" s="1454"/>
      <c r="N20" s="1454"/>
      <c r="O20" s="1454"/>
      <c r="P20" s="1454" t="str">
        <f t="shared" si="7"/>
        <v/>
      </c>
      <c r="Q20" s="1454" t="str">
        <f>IF(L20="","",IF(AC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455"/>
      <c r="S20" s="1454"/>
      <c r="T20" s="1454"/>
      <c r="U20" s="1107" t="str" cm="1">
        <f t="array" ref="U20">IF(L20="","",IF(M20=AD20,1,Slookup(MID(AD20,1,3)*1,UomConversion!$D$8:$J$500,5,UomConversion!$E$8:$E$500,MID(M20,1,3)*1,UomConversion!$J$8:$J$500,1)))</f>
        <v/>
      </c>
      <c r="V20" s="732" t="str">
        <f t="shared" si="8"/>
        <v/>
      </c>
      <c r="W20" s="1104" t="str">
        <f t="shared" si="9"/>
        <v/>
      </c>
      <c r="X20" s="1104" t="str">
        <f t="shared" si="10"/>
        <v/>
      </c>
      <c r="Y20" s="732" t="str">
        <f>IF(I20="","",IF(ISNA(MATCH(I20,IF(MID(N20,1,3)*1=1,'[1]1_inventory_totals'!$C$8:$C$10000,IF(MID(N20,1,3)*1=2,'[1]2_inventory_totals'!$C$8:$C$10000,"")),0)),0,IF(AK20&gt;0,1,0)))</f>
        <v/>
      </c>
      <c r="Z20" s="732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A20" s="732" t="str">
        <f>IF(L20="","",IF(ISNA(MATCH(I20,'[1]1_group_totals'!$C$8:$C$10000)),0,IF(AL20&gt;0,1,0)))</f>
        <v/>
      </c>
      <c r="AB20" s="511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511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D20" s="511" t="str">
        <f t="shared" si="11"/>
        <v/>
      </c>
      <c r="AE20" s="511" t="str">
        <f>IF(ISNA(MATCH(MID(AD20,1,3)*1,UomConversion!$D$8:$D$500,0)),"",IF(AI20&lt;&gt;"",AI20,""))</f>
        <v/>
      </c>
      <c r="AF20" s="511" t="str">
        <f>IF(AND(AG20&gt;0,COUNTIFS(UomConversion!$D$8:$D$500,MID(AD20,1,3)*1,UomConversion!$J$8:$J$500,1)&gt;1),TEXT(AG20,"000")&amp;"."&amp;VLOOKUP(AG20,uom_list,4,FALSE),"")</f>
        <v/>
      </c>
      <c r="AG20" s="511" t="str">
        <f t="shared" si="12"/>
        <v/>
      </c>
      <c r="AH20" s="511" t="str">
        <f t="shared" si="13"/>
        <v/>
      </c>
      <c r="AI20" s="126" t="str">
        <f t="shared" si="14"/>
        <v/>
      </c>
      <c r="AJ20" s="126" t="str" cm="1">
        <f t="array" ref="AJ20">IF(L20="","",Slookup(MID(AD20,1,3)*1,UomConversion!$D$8:$J$500,2,UomConversion!$I$8:$I$500,1,UomConversion!$J$8:$J$500,1))</f>
        <v/>
      </c>
      <c r="AK20" s="126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L20" s="126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M20" s="128"/>
      <c r="AN20" s="128"/>
    </row>
    <row r="21" spans="1:40" ht="27" customHeight="1">
      <c r="A21" s="765"/>
      <c r="B21" s="1352"/>
      <c r="C21" s="945" t="s">
        <v>399</v>
      </c>
      <c r="D21" s="984"/>
      <c r="E21" s="984"/>
      <c r="F21" s="1368"/>
      <c r="I21" s="426" t="str">
        <f t="shared" si="5"/>
        <v/>
      </c>
      <c r="J21" s="909" t="str">
        <f t="shared" si="6"/>
        <v/>
      </c>
      <c r="K21" s="1110" t="str">
        <f t="shared" si="0"/>
        <v/>
      </c>
      <c r="L21" s="1476"/>
      <c r="M21" s="1454"/>
      <c r="N21" s="1454"/>
      <c r="O21" s="1454"/>
      <c r="P21" s="1454" t="str">
        <f t="shared" si="7"/>
        <v/>
      </c>
      <c r="Q21" s="1454" t="str">
        <f>IF(L21="","",IF(AC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455"/>
      <c r="S21" s="1454"/>
      <c r="T21" s="1454"/>
      <c r="U21" s="1107" t="str" cm="1">
        <f t="array" ref="U21">IF(L21="","",IF(M21=AD21,1,Slookup(MID(AD21,1,3)*1,UomConversion!$D$8:$J$500,5,UomConversion!$E$8:$E$500,MID(M21,1,3)*1,UomConversion!$J$8:$J$500,1)))</f>
        <v/>
      </c>
      <c r="V21" s="732" t="str">
        <f t="shared" si="8"/>
        <v/>
      </c>
      <c r="W21" s="1104" t="str">
        <f t="shared" si="9"/>
        <v/>
      </c>
      <c r="X21" s="1104" t="str">
        <f t="shared" si="10"/>
        <v/>
      </c>
      <c r="Y21" s="732" t="str">
        <f>IF(I21="","",IF(ISNA(MATCH(I21,IF(MID(N21,1,3)*1=1,'[1]1_inventory_totals'!$C$8:$C$10000,IF(MID(N21,1,3)*1=2,'[1]2_inventory_totals'!$C$8:$C$10000,"")),0)),0,IF(AK21&gt;0,1,0)))</f>
        <v/>
      </c>
      <c r="Z21" s="732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A21" s="732" t="str">
        <f>IF(L21="","",IF(ISNA(MATCH(I21,'[1]1_group_totals'!$C$8:$C$10000)),0,IF(AL21&gt;0,1,0)))</f>
        <v/>
      </c>
      <c r="AB21" s="511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511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D21" s="511" t="str">
        <f t="shared" si="11"/>
        <v/>
      </c>
      <c r="AE21" s="511" t="str">
        <f>IF(ISNA(MATCH(MID(AD21,1,3)*1,UomConversion!$D$8:$D$500,0)),"",IF(AI21&lt;&gt;"",AI21,""))</f>
        <v/>
      </c>
      <c r="AF21" s="511" t="str">
        <f>IF(AND(AG21&gt;0,COUNTIFS(UomConversion!$D$8:$D$500,MID(AD21,1,3)*1,UomConversion!$J$8:$J$500,1)&gt;1),TEXT(AG21,"000")&amp;"."&amp;VLOOKUP(AG21,uom_list,4,FALSE),"")</f>
        <v/>
      </c>
      <c r="AG21" s="511" t="str">
        <f t="shared" si="12"/>
        <v/>
      </c>
      <c r="AH21" s="511" t="str">
        <f t="shared" si="13"/>
        <v/>
      </c>
      <c r="AI21" s="126" t="str">
        <f t="shared" si="14"/>
        <v/>
      </c>
      <c r="AJ21" s="126" t="str" cm="1">
        <f t="array" ref="AJ21">IF(L21="","",Slookup(MID(AD21,1,3)*1,UomConversion!$D$8:$J$500,2,UomConversion!$I$8:$I$500,1,UomConversion!$J$8:$J$500,1))</f>
        <v/>
      </c>
      <c r="AK21" s="126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L21" s="126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M21" s="128"/>
      <c r="AN21" s="128"/>
    </row>
    <row r="22" spans="1:40" ht="27" customHeight="1">
      <c r="A22" s="765"/>
      <c r="B22" s="1352"/>
      <c r="C22" s="1581" t="s">
        <v>246</v>
      </c>
      <c r="D22" s="1582"/>
      <c r="E22" s="1583"/>
      <c r="F22" s="1368"/>
      <c r="I22" s="426" t="str">
        <f t="shared" si="5"/>
        <v/>
      </c>
      <c r="J22" s="909" t="str">
        <f t="shared" si="6"/>
        <v/>
      </c>
      <c r="K22" s="1110" t="str">
        <f t="shared" si="0"/>
        <v/>
      </c>
      <c r="L22" s="1476"/>
      <c r="M22" s="1454"/>
      <c r="N22" s="1454"/>
      <c r="O22" s="1454"/>
      <c r="P22" s="1454" t="str">
        <f t="shared" si="7"/>
        <v/>
      </c>
      <c r="Q22" s="1454" t="str">
        <f>IF(L22="","",IF(AC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455"/>
      <c r="S22" s="1454"/>
      <c r="T22" s="1454"/>
      <c r="U22" s="1107" t="str" cm="1">
        <f t="array" ref="U22">IF(L22="","",IF(M22=AD22,1,Slookup(MID(AD22,1,3)*1,UomConversion!$D$8:$J$500,5,UomConversion!$E$8:$E$500,MID(M22,1,3)*1,UomConversion!$J$8:$J$500,1)))</f>
        <v/>
      </c>
      <c r="V22" s="732" t="str">
        <f t="shared" si="8"/>
        <v/>
      </c>
      <c r="W22" s="1104" t="str">
        <f t="shared" si="9"/>
        <v/>
      </c>
      <c r="X22" s="1104" t="str">
        <f t="shared" si="10"/>
        <v/>
      </c>
      <c r="Y22" s="732" t="str">
        <f>IF(I22="","",IF(ISNA(MATCH(I22,IF(MID(N22,1,3)*1=1,'[1]1_inventory_totals'!$C$8:$C$10000,IF(MID(N22,1,3)*1=2,'[1]2_inventory_totals'!$C$8:$C$10000,"")),0)),0,IF(AK22&gt;0,1,0)))</f>
        <v/>
      </c>
      <c r="Z22" s="732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A22" s="732" t="str">
        <f>IF(L22="","",IF(ISNA(MATCH(I22,'[1]1_group_totals'!$C$8:$C$10000)),0,IF(AL22&gt;0,1,0)))</f>
        <v/>
      </c>
      <c r="AB22" s="511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511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D22" s="511" t="str">
        <f t="shared" si="11"/>
        <v/>
      </c>
      <c r="AE22" s="511" t="str">
        <f>IF(ISNA(MATCH(MID(AD22,1,3)*1,UomConversion!$D$8:$D$500,0)),"",IF(AI22&lt;&gt;"",AI22,""))</f>
        <v/>
      </c>
      <c r="AF22" s="511" t="str">
        <f>IF(AND(AG22&gt;0,COUNTIFS(UomConversion!$D$8:$D$500,MID(AD22,1,3)*1,UomConversion!$J$8:$J$500,1)&gt;1),TEXT(AG22,"000")&amp;"."&amp;VLOOKUP(AG22,uom_list,4,FALSE),"")</f>
        <v/>
      </c>
      <c r="AG22" s="511" t="str">
        <f t="shared" si="12"/>
        <v/>
      </c>
      <c r="AH22" s="511" t="str">
        <f t="shared" si="13"/>
        <v/>
      </c>
      <c r="AI22" s="126" t="str">
        <f t="shared" si="14"/>
        <v/>
      </c>
      <c r="AJ22" s="126" t="str" cm="1">
        <f t="array" ref="AJ22">IF(L22="","",Slookup(MID(AD22,1,3)*1,UomConversion!$D$8:$J$500,2,UomConversion!$I$8:$I$500,1,UomConversion!$J$8:$J$500,1))</f>
        <v/>
      </c>
      <c r="AK22" s="126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L22" s="126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M22" s="128"/>
      <c r="AN22" s="128"/>
    </row>
    <row r="23" spans="1:40" ht="27" customHeight="1">
      <c r="A23" s="765"/>
      <c r="B23" s="1352"/>
      <c r="C23" s="1584"/>
      <c r="D23" s="1585"/>
      <c r="E23" s="1586"/>
      <c r="F23" s="1368"/>
      <c r="I23" s="426" t="str">
        <f t="shared" si="5"/>
        <v/>
      </c>
      <c r="J23" s="909" t="str">
        <f t="shared" si="6"/>
        <v/>
      </c>
      <c r="K23" s="1110" t="str">
        <f t="shared" si="0"/>
        <v/>
      </c>
      <c r="L23" s="1476"/>
      <c r="M23" s="1454"/>
      <c r="N23" s="1454"/>
      <c r="O23" s="1454"/>
      <c r="P23" s="1454" t="str">
        <f t="shared" si="7"/>
        <v/>
      </c>
      <c r="Q23" s="1454" t="str">
        <f>IF(L23="","",IF(AC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455"/>
      <c r="S23" s="1454"/>
      <c r="T23" s="1454"/>
      <c r="U23" s="1107" t="str" cm="1">
        <f t="array" ref="U23">IF(L23="","",IF(M23=AD23,1,Slookup(MID(AD23,1,3)*1,UomConversion!$D$8:$J$500,5,UomConversion!$E$8:$E$500,MID(M23,1,3)*1,UomConversion!$J$8:$J$500,1)))</f>
        <v/>
      </c>
      <c r="V23" s="732" t="str">
        <f t="shared" si="8"/>
        <v/>
      </c>
      <c r="W23" s="1104" t="str">
        <f t="shared" si="9"/>
        <v/>
      </c>
      <c r="X23" s="1104" t="str">
        <f t="shared" si="10"/>
        <v/>
      </c>
      <c r="Y23" s="732" t="str">
        <f>IF(I23="","",IF(ISNA(MATCH(I23,IF(MID(N23,1,3)*1=1,'[1]1_inventory_totals'!$C$8:$C$10000,IF(MID(N23,1,3)*1=2,'[1]2_inventory_totals'!$C$8:$C$10000,"")),0)),0,IF(AK23&gt;0,1,0)))</f>
        <v/>
      </c>
      <c r="Z23" s="732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A23" s="732" t="str">
        <f>IF(L23="","",IF(ISNA(MATCH(I23,'[1]1_group_totals'!$C$8:$C$10000)),0,IF(AL23&gt;0,1,0)))</f>
        <v/>
      </c>
      <c r="AB23" s="511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511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D23" s="511" t="str">
        <f t="shared" si="11"/>
        <v/>
      </c>
      <c r="AE23" s="511" t="str">
        <f>IF(ISNA(MATCH(MID(AD23,1,3)*1,UomConversion!$D$8:$D$500,0)),"",IF(AI23&lt;&gt;"",AI23,""))</f>
        <v/>
      </c>
      <c r="AF23" s="511" t="str">
        <f>IF(AND(AG23&gt;0,COUNTIFS(UomConversion!$D$8:$D$500,MID(AD23,1,3)*1,UomConversion!$J$8:$J$500,1)&gt;1),TEXT(AG23,"000")&amp;"."&amp;VLOOKUP(AG23,uom_list,4,FALSE),"")</f>
        <v/>
      </c>
      <c r="AG23" s="511" t="str">
        <f t="shared" si="12"/>
        <v/>
      </c>
      <c r="AH23" s="511" t="str">
        <f t="shared" si="13"/>
        <v/>
      </c>
      <c r="AI23" s="126" t="str">
        <f t="shared" si="14"/>
        <v/>
      </c>
      <c r="AJ23" s="126" t="str" cm="1">
        <f t="array" ref="AJ23">IF(L23="","",Slookup(MID(AD23,1,3)*1,UomConversion!$D$8:$J$500,2,UomConversion!$I$8:$I$500,1,UomConversion!$J$8:$J$500,1))</f>
        <v/>
      </c>
      <c r="AK23" s="126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L23" s="126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M23" s="128"/>
      <c r="AN23" s="128"/>
    </row>
    <row r="24" spans="1:40" ht="27" customHeight="1">
      <c r="A24" s="765"/>
      <c r="B24" s="1352"/>
      <c r="C24" s="1587"/>
      <c r="D24" s="1588"/>
      <c r="E24" s="1589"/>
      <c r="F24" s="1465"/>
      <c r="I24" s="426" t="str">
        <f t="shared" si="5"/>
        <v/>
      </c>
      <c r="J24" s="909" t="str">
        <f t="shared" si="6"/>
        <v/>
      </c>
      <c r="K24" s="1110" t="str">
        <f t="shared" si="0"/>
        <v/>
      </c>
      <c r="L24" s="1476"/>
      <c r="M24" s="1454"/>
      <c r="N24" s="1454"/>
      <c r="O24" s="1454"/>
      <c r="P24" s="1454" t="str">
        <f t="shared" si="7"/>
        <v/>
      </c>
      <c r="Q24" s="1454" t="str">
        <f>IF(L24="","",IF(AC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455"/>
      <c r="S24" s="1454"/>
      <c r="T24" s="1454"/>
      <c r="U24" s="1107" t="str" cm="1">
        <f t="array" ref="U24">IF(L24="","",IF(M24=AD24,1,Slookup(MID(AD24,1,3)*1,UomConversion!$D$8:$J$500,5,UomConversion!$E$8:$E$500,MID(M24,1,3)*1,UomConversion!$J$8:$J$500,1)))</f>
        <v/>
      </c>
      <c r="V24" s="732" t="str">
        <f t="shared" si="8"/>
        <v/>
      </c>
      <c r="W24" s="1104" t="str">
        <f t="shared" si="9"/>
        <v/>
      </c>
      <c r="X24" s="1104" t="str">
        <f t="shared" si="10"/>
        <v/>
      </c>
      <c r="Y24" s="732" t="str">
        <f>IF(I24="","",IF(ISNA(MATCH(I24,IF(MID(N24,1,3)*1=1,'[1]1_inventory_totals'!$C$8:$C$10000,IF(MID(N24,1,3)*1=2,'[1]2_inventory_totals'!$C$8:$C$10000,"")),0)),0,IF(AK24&gt;0,1,0)))</f>
        <v/>
      </c>
      <c r="Z24" s="732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A24" s="732" t="str">
        <f>IF(L24="","",IF(ISNA(MATCH(I24,'[1]1_group_totals'!$C$8:$C$10000)),0,IF(AL24&gt;0,1,0)))</f>
        <v/>
      </c>
      <c r="AB24" s="511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511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D24" s="511" t="str">
        <f t="shared" si="11"/>
        <v/>
      </c>
      <c r="AE24" s="511" t="str">
        <f>IF(ISNA(MATCH(MID(AD24,1,3)*1,UomConversion!$D$8:$D$500,0)),"",IF(AI24&lt;&gt;"",AI24,""))</f>
        <v/>
      </c>
      <c r="AF24" s="511" t="str">
        <f>IF(AND(AG24&gt;0,COUNTIFS(UomConversion!$D$8:$D$500,MID(AD24,1,3)*1,UomConversion!$J$8:$J$500,1)&gt;1),TEXT(AG24,"000")&amp;"."&amp;VLOOKUP(AG24,uom_list,4,FALSE),"")</f>
        <v/>
      </c>
      <c r="AG24" s="511" t="str">
        <f t="shared" si="12"/>
        <v/>
      </c>
      <c r="AH24" s="511" t="str">
        <f t="shared" si="13"/>
        <v/>
      </c>
      <c r="AI24" s="126" t="str">
        <f t="shared" si="14"/>
        <v/>
      </c>
      <c r="AJ24" s="126" t="str" cm="1">
        <f t="array" ref="AJ24">IF(L24="","",Slookup(MID(AD24,1,3)*1,UomConversion!$D$8:$J$500,2,UomConversion!$I$8:$I$500,1,UomConversion!$J$8:$J$500,1))</f>
        <v/>
      </c>
      <c r="AK24" s="126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L24" s="126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M24" s="128"/>
      <c r="AN24" s="128"/>
    </row>
    <row r="25" spans="1:40" ht="27" customHeight="1">
      <c r="A25" s="765"/>
      <c r="B25" s="1352"/>
      <c r="C25" s="984"/>
      <c r="D25" s="984"/>
      <c r="E25" s="984"/>
      <c r="F25" s="1368"/>
      <c r="I25" s="426" t="str">
        <f t="shared" si="5"/>
        <v/>
      </c>
      <c r="J25" s="909" t="str">
        <f t="shared" ref="J25:J87" si="15">IF(L25="","",1)</f>
        <v/>
      </c>
      <c r="K25" s="910" t="str">
        <f t="shared" si="0"/>
        <v/>
      </c>
      <c r="L25" s="1476"/>
      <c r="M25" s="1454"/>
      <c r="N25" s="1454"/>
      <c r="O25" s="1454"/>
      <c r="P25" s="1454" t="str">
        <f t="shared" si="7"/>
        <v/>
      </c>
      <c r="Q25" s="1454" t="str">
        <f>IF(L25="","",IF(AC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455"/>
      <c r="S25" s="1454"/>
      <c r="T25" s="1454"/>
      <c r="U25" s="1107" t="str" cm="1">
        <f t="array" ref="U25">IF(L25="","",IF(M25=AD25,1,Slookup(MID(AD25,1,3)*1,UomConversion!$D$8:$J$500,5,UomConversion!$E$8:$E$500,MID(M25,1,3)*1,UomConversion!$J$8:$J$500,1)))</f>
        <v/>
      </c>
      <c r="V25" s="732" t="str">
        <f t="shared" si="8"/>
        <v/>
      </c>
      <c r="W25" s="1104" t="str">
        <f t="shared" si="9"/>
        <v/>
      </c>
      <c r="X25" s="1104" t="str">
        <f t="shared" si="10"/>
        <v/>
      </c>
      <c r="Y25" s="732" t="str">
        <f>IF(I25="","",IF(ISNA(MATCH(I25,IF(MID(N25,1,3)*1=1,'[1]1_inventory_totals'!$C$8:$C$10000,IF(MID(N25,1,3)*1=2,'[1]2_inventory_totals'!$C$8:$C$10000,"")),0)),0,IF(AK25&gt;0,1,0)))</f>
        <v/>
      </c>
      <c r="Z25" s="732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A25" s="732" t="str">
        <f>IF(L25="","",IF(ISNA(MATCH(I25,'[1]1_group_totals'!$C$8:$C$10000)),0,IF(AL25&gt;0,1,0)))</f>
        <v/>
      </c>
      <c r="AB25" s="511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511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D25" s="511" t="str">
        <f t="shared" si="11"/>
        <v/>
      </c>
      <c r="AE25" s="511" t="str">
        <f>IF(ISNA(MATCH(MID(AD25,1,3)*1,UomConversion!$D$8:$D$500,0)),"",IF(AI25&lt;&gt;"",AI25,""))</f>
        <v/>
      </c>
      <c r="AF25" s="511" t="str">
        <f>IF(AND(AG25&gt;0,COUNTIFS(UomConversion!$D$8:$D$500,MID(AD25,1,3)*1,UomConversion!$J$8:$J$500,1)&gt;1),TEXT(AG25,"000")&amp;"."&amp;VLOOKUP(AG25,uom_list,4,FALSE),"")</f>
        <v/>
      </c>
      <c r="AG25" s="511" t="str">
        <f t="shared" si="12"/>
        <v/>
      </c>
      <c r="AH25" s="511" t="str">
        <f t="shared" si="13"/>
        <v/>
      </c>
      <c r="AI25" s="126" t="str">
        <f t="shared" si="14"/>
        <v/>
      </c>
      <c r="AJ25" s="126" t="str" cm="1">
        <f t="array" ref="AJ25">IF(L25="","",Slookup(MID(AD25,1,3)*1,UomConversion!$D$8:$J$500,2,UomConversion!$I$8:$I$500,1,UomConversion!$J$8:$J$500,1))</f>
        <v/>
      </c>
      <c r="AK25" s="126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L25" s="126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M25" s="128"/>
      <c r="AN25" s="128"/>
    </row>
    <row r="26" spans="1:40" ht="27" customHeight="1">
      <c r="A26" s="765"/>
      <c r="B26" s="1352"/>
      <c r="C26" s="984"/>
      <c r="D26" s="984"/>
      <c r="E26" s="984"/>
      <c r="F26" s="1368"/>
      <c r="I26" s="426" t="str">
        <f t="shared" si="5"/>
        <v/>
      </c>
      <c r="J26" s="909" t="str">
        <f t="shared" si="15"/>
        <v/>
      </c>
      <c r="K26" s="910" t="str">
        <f t="shared" si="0"/>
        <v/>
      </c>
      <c r="L26" s="1476"/>
      <c r="M26" s="1454"/>
      <c r="N26" s="1454"/>
      <c r="O26" s="1454"/>
      <c r="P26" s="1454" t="str">
        <f t="shared" si="7"/>
        <v/>
      </c>
      <c r="Q26" s="1454" t="str">
        <f>IF(L26="","",IF(AC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455"/>
      <c r="S26" s="1454"/>
      <c r="T26" s="1454"/>
      <c r="U26" s="1107" t="str" cm="1">
        <f t="array" ref="U26">IF(L26="","",IF(M26=AD26,1,Slookup(MID(AD26,1,3)*1,UomConversion!$D$8:$J$500,5,UomConversion!$E$8:$E$500,MID(M26,1,3)*1,UomConversion!$J$8:$J$500,1)))</f>
        <v/>
      </c>
      <c r="V26" s="732" t="str">
        <f t="shared" si="8"/>
        <v/>
      </c>
      <c r="W26" s="1104" t="str">
        <f t="shared" si="9"/>
        <v/>
      </c>
      <c r="X26" s="1104" t="str">
        <f t="shared" si="10"/>
        <v/>
      </c>
      <c r="Y26" s="732" t="str">
        <f>IF(I26="","",IF(ISNA(MATCH(I26,IF(MID(N26,1,3)*1=1,'[1]1_inventory_totals'!$C$8:$C$10000,IF(MID(N26,1,3)*1=2,'[1]2_inventory_totals'!$C$8:$C$10000,"")),0)),0,IF(AK26&gt;0,1,0)))</f>
        <v/>
      </c>
      <c r="Z26" s="732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A26" s="732" t="str">
        <f>IF(L26="","",IF(ISNA(MATCH(I26,'[1]1_group_totals'!$C$8:$C$10000)),0,IF(AL26&gt;0,1,0)))</f>
        <v/>
      </c>
      <c r="AB26" s="511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511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D26" s="511" t="str">
        <f t="shared" si="11"/>
        <v/>
      </c>
      <c r="AE26" s="511" t="str">
        <f>IF(ISNA(MATCH(MID(AD26,1,3)*1,UomConversion!$D$8:$D$500,0)),"",IF(AI26&lt;&gt;"",AI26,""))</f>
        <v/>
      </c>
      <c r="AF26" s="511" t="str">
        <f>IF(AND(AG26&gt;0,COUNTIFS(UomConversion!$D$8:$D$500,MID(AD26,1,3)*1,UomConversion!$J$8:$J$500,1)&gt;1),TEXT(AG26,"000")&amp;"."&amp;VLOOKUP(AG26,uom_list,4,FALSE),"")</f>
        <v/>
      </c>
      <c r="AG26" s="511" t="str">
        <f t="shared" si="12"/>
        <v/>
      </c>
      <c r="AH26" s="511" t="str">
        <f t="shared" si="13"/>
        <v/>
      </c>
      <c r="AI26" s="126" t="str">
        <f t="shared" si="14"/>
        <v/>
      </c>
      <c r="AJ26" s="126" t="str" cm="1">
        <f t="array" ref="AJ26">IF(L26="","",Slookup(MID(AD26,1,3)*1,UomConversion!$D$8:$J$500,2,UomConversion!$I$8:$I$500,1,UomConversion!$J$8:$J$500,1))</f>
        <v/>
      </c>
      <c r="AK26" s="126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L26" s="126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M26" s="128"/>
      <c r="AN26" s="128"/>
    </row>
    <row r="27" spans="1:40" ht="27" customHeight="1">
      <c r="A27" s="765"/>
      <c r="B27" s="1352"/>
      <c r="C27" s="984"/>
      <c r="D27" s="984"/>
      <c r="E27" s="984"/>
      <c r="F27" s="1368"/>
      <c r="I27" s="426" t="str">
        <f t="shared" si="5"/>
        <v/>
      </c>
      <c r="J27" s="909" t="str">
        <f t="shared" si="15"/>
        <v/>
      </c>
      <c r="K27" s="910" t="str">
        <f t="shared" si="0"/>
        <v/>
      </c>
      <c r="L27" s="1476"/>
      <c r="M27" s="1454"/>
      <c r="N27" s="1454"/>
      <c r="O27" s="1454"/>
      <c r="P27" s="1454" t="str">
        <f t="shared" si="7"/>
        <v/>
      </c>
      <c r="Q27" s="1454" t="str">
        <f>IF(L27="","",IF(AC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455"/>
      <c r="S27" s="1454"/>
      <c r="T27" s="1454"/>
      <c r="U27" s="1107" t="str" cm="1">
        <f t="array" ref="U27">IF(L27="","",IF(M27=AD27,1,Slookup(MID(AD27,1,3)*1,UomConversion!$D$8:$J$500,5,UomConversion!$E$8:$E$500,MID(M27,1,3)*1,UomConversion!$J$8:$J$500,1)))</f>
        <v/>
      </c>
      <c r="V27" s="732" t="str">
        <f t="shared" si="8"/>
        <v/>
      </c>
      <c r="W27" s="1104" t="str">
        <f t="shared" si="9"/>
        <v/>
      </c>
      <c r="X27" s="1104" t="str">
        <f t="shared" si="10"/>
        <v/>
      </c>
      <c r="Y27" s="732" t="str">
        <f>IF(I27="","",IF(ISNA(MATCH(I27,IF(MID(N27,1,3)*1=1,'[1]1_inventory_totals'!$C$8:$C$10000,IF(MID(N27,1,3)*1=2,'[1]2_inventory_totals'!$C$8:$C$10000,"")),0)),0,IF(AK27&gt;0,1,0)))</f>
        <v/>
      </c>
      <c r="Z27" s="732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A27" s="732" t="str">
        <f>IF(L27="","",IF(ISNA(MATCH(I27,'[1]1_group_totals'!$C$8:$C$10000)),0,IF(AL27&gt;0,1,0)))</f>
        <v/>
      </c>
      <c r="AB27" s="511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511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D27" s="511" t="str">
        <f t="shared" si="11"/>
        <v/>
      </c>
      <c r="AE27" s="511" t="str">
        <f>IF(ISNA(MATCH(MID(AD27,1,3)*1,UomConversion!$D$8:$D$500,0)),"",IF(AI27&lt;&gt;"",AI27,""))</f>
        <v/>
      </c>
      <c r="AF27" s="511" t="str">
        <f>IF(AND(AG27&gt;0,COUNTIFS(UomConversion!$D$8:$D$500,MID(AD27,1,3)*1,UomConversion!$J$8:$J$500,1)&gt;1),TEXT(AG27,"000")&amp;"."&amp;VLOOKUP(AG27,uom_list,4,FALSE),"")</f>
        <v/>
      </c>
      <c r="AG27" s="511" t="str">
        <f t="shared" si="12"/>
        <v/>
      </c>
      <c r="AH27" s="511" t="str">
        <f t="shared" si="13"/>
        <v/>
      </c>
      <c r="AI27" s="126" t="str">
        <f t="shared" si="14"/>
        <v/>
      </c>
      <c r="AJ27" s="126" t="str" cm="1">
        <f t="array" ref="AJ27">IF(L27="","",Slookup(MID(AD27,1,3)*1,UomConversion!$D$8:$J$500,2,UomConversion!$I$8:$I$500,1,UomConversion!$J$8:$J$500,1))</f>
        <v/>
      </c>
      <c r="AK27" s="126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L27" s="126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M27" s="128"/>
      <c r="AN27" s="128"/>
    </row>
    <row r="28" spans="1:40" ht="27" customHeight="1">
      <c r="A28" s="765"/>
      <c r="B28" s="1352"/>
      <c r="C28" s="984"/>
      <c r="D28" s="984"/>
      <c r="E28" s="984"/>
      <c r="F28" s="1368"/>
      <c r="I28" s="426" t="str">
        <f t="shared" si="5"/>
        <v/>
      </c>
      <c r="J28" s="909" t="str">
        <f t="shared" si="15"/>
        <v/>
      </c>
      <c r="K28" s="910" t="str">
        <f t="shared" si="0"/>
        <v/>
      </c>
      <c r="L28" s="1476"/>
      <c r="M28" s="1454"/>
      <c r="N28" s="1454"/>
      <c r="O28" s="1454"/>
      <c r="P28" s="1454" t="str">
        <f t="shared" si="7"/>
        <v/>
      </c>
      <c r="Q28" s="1454" t="str">
        <f>IF(L28="","",IF(AC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455"/>
      <c r="S28" s="1454"/>
      <c r="T28" s="1454"/>
      <c r="U28" s="1107" t="str" cm="1">
        <f t="array" ref="U28">IF(L28="","",IF(M28=AD28,1,Slookup(MID(AD28,1,3)*1,UomConversion!$D$8:$J$500,5,UomConversion!$E$8:$E$500,MID(M28,1,3)*1,UomConversion!$J$8:$J$500,1)))</f>
        <v/>
      </c>
      <c r="V28" s="732" t="str">
        <f t="shared" si="8"/>
        <v/>
      </c>
      <c r="W28" s="1104" t="str">
        <f t="shared" si="9"/>
        <v/>
      </c>
      <c r="X28" s="1104" t="str">
        <f t="shared" si="10"/>
        <v/>
      </c>
      <c r="Y28" s="732" t="str">
        <f>IF(I28="","",IF(ISNA(MATCH(I28,IF(MID(N28,1,3)*1=1,'[1]1_inventory_totals'!$C$8:$C$10000,IF(MID(N28,1,3)*1=2,'[1]2_inventory_totals'!$C$8:$C$10000,"")),0)),0,IF(AK28&gt;0,1,0)))</f>
        <v/>
      </c>
      <c r="Z28" s="732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A28" s="732" t="str">
        <f>IF(L28="","",IF(ISNA(MATCH(I28,'[1]1_group_totals'!$C$8:$C$10000)),0,IF(AL28&gt;0,1,0)))</f>
        <v/>
      </c>
      <c r="AB28" s="511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511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D28" s="511" t="str">
        <f t="shared" si="11"/>
        <v/>
      </c>
      <c r="AE28" s="511" t="str">
        <f>IF(ISNA(MATCH(MID(AD28,1,3)*1,UomConversion!$D$8:$D$500,0)),"",IF(AI28&lt;&gt;"",AI28,""))</f>
        <v/>
      </c>
      <c r="AF28" s="511" t="str">
        <f>IF(AND(AG28&gt;0,COUNTIFS(UomConversion!$D$8:$D$500,MID(AD28,1,3)*1,UomConversion!$J$8:$J$500,1)&gt;1),TEXT(AG28,"000")&amp;"."&amp;VLOOKUP(AG28,uom_list,4,FALSE),"")</f>
        <v/>
      </c>
      <c r="AG28" s="511" t="str">
        <f t="shared" si="12"/>
        <v/>
      </c>
      <c r="AH28" s="511" t="str">
        <f t="shared" si="13"/>
        <v/>
      </c>
      <c r="AI28" s="126" t="str">
        <f t="shared" si="14"/>
        <v/>
      </c>
      <c r="AJ28" s="126" t="str" cm="1">
        <f t="array" ref="AJ28">IF(L28="","",Slookup(MID(AD28,1,3)*1,UomConversion!$D$8:$J$500,2,UomConversion!$I$8:$I$500,1,UomConversion!$J$8:$J$500,1))</f>
        <v/>
      </c>
      <c r="AK28" s="126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L28" s="126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M28" s="128"/>
      <c r="AN28" s="128"/>
    </row>
    <row r="29" spans="1:40" ht="27" customHeight="1">
      <c r="A29" s="765"/>
      <c r="B29" s="1352"/>
      <c r="C29" s="984"/>
      <c r="D29" s="984"/>
      <c r="E29" s="984"/>
      <c r="F29" s="1368"/>
      <c r="I29" s="426" t="str">
        <f t="shared" si="5"/>
        <v/>
      </c>
      <c r="J29" s="909" t="str">
        <f t="shared" si="15"/>
        <v/>
      </c>
      <c r="K29" s="910" t="str">
        <f t="shared" si="0"/>
        <v/>
      </c>
      <c r="L29" s="1476"/>
      <c r="M29" s="1454"/>
      <c r="N29" s="1454"/>
      <c r="O29" s="1454"/>
      <c r="P29" s="1454" t="str">
        <f t="shared" si="7"/>
        <v/>
      </c>
      <c r="Q29" s="1454" t="str">
        <f>IF(L29="","",IF(AC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455"/>
      <c r="S29" s="1454"/>
      <c r="T29" s="1454"/>
      <c r="U29" s="1107" t="str" cm="1">
        <f t="array" ref="U29">IF(L29="","",IF(M29=AD29,1,Slookup(MID(AD29,1,3)*1,UomConversion!$D$8:$J$500,5,UomConversion!$E$8:$E$500,MID(M29,1,3)*1,UomConversion!$J$8:$J$500,1)))</f>
        <v/>
      </c>
      <c r="V29" s="732" t="str">
        <f t="shared" si="8"/>
        <v/>
      </c>
      <c r="W29" s="1104" t="str">
        <f t="shared" si="9"/>
        <v/>
      </c>
      <c r="X29" s="1104" t="str">
        <f t="shared" si="10"/>
        <v/>
      </c>
      <c r="Y29" s="732" t="str">
        <f>IF(I29="","",IF(ISNA(MATCH(I29,IF(MID(N29,1,3)*1=1,'[1]1_inventory_totals'!$C$8:$C$10000,IF(MID(N29,1,3)*1=2,'[1]2_inventory_totals'!$C$8:$C$10000,"")),0)),0,IF(AK29&gt;0,1,0)))</f>
        <v/>
      </c>
      <c r="Z29" s="732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A29" s="732" t="str">
        <f>IF(L29="","",IF(ISNA(MATCH(I29,'[1]1_group_totals'!$C$8:$C$10000)),0,IF(AL29&gt;0,1,0)))</f>
        <v/>
      </c>
      <c r="AB29" s="511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511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D29" s="511" t="str">
        <f t="shared" si="11"/>
        <v/>
      </c>
      <c r="AE29" s="511" t="str">
        <f>IF(ISNA(MATCH(MID(AD29,1,3)*1,UomConversion!$D$8:$D$500,0)),"",IF(AI29&lt;&gt;"",AI29,""))</f>
        <v/>
      </c>
      <c r="AF29" s="511" t="str">
        <f>IF(AND(AG29&gt;0,COUNTIFS(UomConversion!$D$8:$D$500,MID(AD29,1,3)*1,UomConversion!$J$8:$J$500,1)&gt;1),TEXT(AG29,"000")&amp;"."&amp;VLOOKUP(AG29,uom_list,4,FALSE),"")</f>
        <v/>
      </c>
      <c r="AG29" s="511" t="str">
        <f t="shared" si="12"/>
        <v/>
      </c>
      <c r="AH29" s="511" t="str">
        <f t="shared" si="13"/>
        <v/>
      </c>
      <c r="AI29" s="126" t="str">
        <f t="shared" si="14"/>
        <v/>
      </c>
      <c r="AJ29" s="126" t="str" cm="1">
        <f t="array" ref="AJ29">IF(L29="","",Slookup(MID(AD29,1,3)*1,UomConversion!$D$8:$J$500,2,UomConversion!$I$8:$I$500,1,UomConversion!$J$8:$J$500,1))</f>
        <v/>
      </c>
      <c r="AK29" s="126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L29" s="126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M29" s="128"/>
      <c r="AN29" s="128"/>
    </row>
    <row r="30" spans="1:40" ht="27" customHeight="1">
      <c r="A30" s="765"/>
      <c r="B30" s="1352"/>
      <c r="C30" s="984"/>
      <c r="D30" s="984"/>
      <c r="E30" s="984"/>
      <c r="F30" s="1368"/>
      <c r="I30" s="426" t="str">
        <f t="shared" si="5"/>
        <v/>
      </c>
      <c r="J30" s="909" t="str">
        <f t="shared" si="15"/>
        <v/>
      </c>
      <c r="K30" s="910" t="str">
        <f t="shared" si="0"/>
        <v/>
      </c>
      <c r="L30" s="1476"/>
      <c r="M30" s="1454"/>
      <c r="N30" s="1454"/>
      <c r="O30" s="1454"/>
      <c r="P30" s="1454" t="str">
        <f t="shared" si="7"/>
        <v/>
      </c>
      <c r="Q30" s="1454" t="str">
        <f>IF(L30="","",IF(AC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455"/>
      <c r="S30" s="1454"/>
      <c r="T30" s="1454"/>
      <c r="U30" s="1107" t="str" cm="1">
        <f t="array" ref="U30">IF(L30="","",IF(M30=AD30,1,Slookup(MID(AD30,1,3)*1,UomConversion!$D$8:$J$500,5,UomConversion!$E$8:$E$500,MID(M30,1,3)*1,UomConversion!$J$8:$J$500,1)))</f>
        <v/>
      </c>
      <c r="V30" s="732" t="str">
        <f t="shared" si="8"/>
        <v/>
      </c>
      <c r="W30" s="1104" t="str">
        <f t="shared" si="9"/>
        <v/>
      </c>
      <c r="X30" s="1104" t="str">
        <f t="shared" si="10"/>
        <v/>
      </c>
      <c r="Y30" s="732" t="str">
        <f>IF(I30="","",IF(ISNA(MATCH(I30,IF(MID(N30,1,3)*1=1,'[1]1_inventory_totals'!$C$8:$C$10000,IF(MID(N30,1,3)*1=2,'[1]2_inventory_totals'!$C$8:$C$10000,"")),0)),0,IF(AK30&gt;0,1,0)))</f>
        <v/>
      </c>
      <c r="Z30" s="732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A30" s="732" t="str">
        <f>IF(L30="","",IF(ISNA(MATCH(I30,'[1]1_group_totals'!$C$8:$C$10000)),0,IF(AL30&gt;0,1,0)))</f>
        <v/>
      </c>
      <c r="AB30" s="511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511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D30" s="511" t="str">
        <f t="shared" si="11"/>
        <v/>
      </c>
      <c r="AE30" s="511" t="str">
        <f>IF(ISNA(MATCH(MID(AD30,1,3)*1,UomConversion!$D$8:$D$500,0)),"",IF(AI30&lt;&gt;"",AI30,""))</f>
        <v/>
      </c>
      <c r="AF30" s="511" t="str">
        <f>IF(AND(AG30&gt;0,COUNTIFS(UomConversion!$D$8:$D$500,MID(AD30,1,3)*1,UomConversion!$J$8:$J$500,1)&gt;1),TEXT(AG30,"000")&amp;"."&amp;VLOOKUP(AG30,uom_list,4,FALSE),"")</f>
        <v/>
      </c>
      <c r="AG30" s="511" t="str">
        <f t="shared" si="12"/>
        <v/>
      </c>
      <c r="AH30" s="511" t="str">
        <f t="shared" si="13"/>
        <v/>
      </c>
      <c r="AI30" s="126" t="str">
        <f t="shared" si="14"/>
        <v/>
      </c>
      <c r="AJ30" s="126" t="str" cm="1">
        <f t="array" ref="AJ30">IF(L30="","",Slookup(MID(AD30,1,3)*1,UomConversion!$D$8:$J$500,2,UomConversion!$I$8:$I$500,1,UomConversion!$J$8:$J$500,1))</f>
        <v/>
      </c>
      <c r="AK30" s="126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L30" s="126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M30" s="128"/>
      <c r="AN30" s="128"/>
    </row>
    <row r="31" spans="1:40" ht="27" customHeight="1">
      <c r="A31" s="765"/>
      <c r="B31" s="1352"/>
      <c r="C31" s="984"/>
      <c r="D31" s="984"/>
      <c r="E31" s="984"/>
      <c r="F31" s="1368"/>
      <c r="I31" s="426" t="str">
        <f t="shared" si="5"/>
        <v/>
      </c>
      <c r="J31" s="909" t="str">
        <f t="shared" si="15"/>
        <v/>
      </c>
      <c r="K31" s="910" t="str">
        <f t="shared" si="0"/>
        <v/>
      </c>
      <c r="L31" s="1476"/>
      <c r="M31" s="1454"/>
      <c r="N31" s="1454"/>
      <c r="O31" s="1454"/>
      <c r="P31" s="1454" t="str">
        <f t="shared" si="7"/>
        <v/>
      </c>
      <c r="Q31" s="1454" t="str">
        <f>IF(L31="","",IF(AC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455"/>
      <c r="S31" s="1454"/>
      <c r="T31" s="1454"/>
      <c r="U31" s="1107" t="str" cm="1">
        <f t="array" ref="U31">IF(L31="","",IF(M31=AD31,1,Slookup(MID(AD31,1,3)*1,UomConversion!$D$8:$J$500,5,UomConversion!$E$8:$E$500,MID(M31,1,3)*1,UomConversion!$J$8:$J$500,1)))</f>
        <v/>
      </c>
      <c r="V31" s="732" t="str">
        <f t="shared" si="8"/>
        <v/>
      </c>
      <c r="W31" s="1104" t="str">
        <f t="shared" si="9"/>
        <v/>
      </c>
      <c r="X31" s="1104" t="str">
        <f t="shared" si="10"/>
        <v/>
      </c>
      <c r="Y31" s="732" t="str">
        <f>IF(I31="","",IF(ISNA(MATCH(I31,IF(MID(N31,1,3)*1=1,'[1]1_inventory_totals'!$C$8:$C$10000,IF(MID(N31,1,3)*1=2,'[1]2_inventory_totals'!$C$8:$C$10000,"")),0)),0,IF(AK31&gt;0,1,0)))</f>
        <v/>
      </c>
      <c r="Z31" s="732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A31" s="732" t="str">
        <f>IF(L31="","",IF(ISNA(MATCH(I31,'[1]1_group_totals'!$C$8:$C$10000)),0,IF(AL31&gt;0,1,0)))</f>
        <v/>
      </c>
      <c r="AB31" s="511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511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D31" s="511" t="str">
        <f t="shared" si="11"/>
        <v/>
      </c>
      <c r="AE31" s="511" t="str">
        <f>IF(ISNA(MATCH(MID(AD31,1,3)*1,UomConversion!$D$8:$D$500,0)),"",IF(AI31&lt;&gt;"",AI31,""))</f>
        <v/>
      </c>
      <c r="AF31" s="511" t="str">
        <f>IF(AND(AG31&gt;0,COUNTIFS(UomConversion!$D$8:$D$500,MID(AD31,1,3)*1,UomConversion!$J$8:$J$500,1)&gt;1),TEXT(AG31,"000")&amp;"."&amp;VLOOKUP(AG31,uom_list,4,FALSE),"")</f>
        <v/>
      </c>
      <c r="AG31" s="511" t="str">
        <f t="shared" si="12"/>
        <v/>
      </c>
      <c r="AH31" s="511" t="str">
        <f t="shared" si="13"/>
        <v/>
      </c>
      <c r="AI31" s="126" t="str">
        <f t="shared" si="14"/>
        <v/>
      </c>
      <c r="AJ31" s="126" t="str" cm="1">
        <f t="array" ref="AJ31">IF(L31="","",Slookup(MID(AD31,1,3)*1,UomConversion!$D$8:$J$500,2,UomConversion!$I$8:$I$500,1,UomConversion!$J$8:$J$500,1))</f>
        <v/>
      </c>
      <c r="AK31" s="126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L31" s="126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M31" s="128"/>
      <c r="AN31" s="128"/>
    </row>
    <row r="32" spans="1:40" ht="27" customHeight="1">
      <c r="A32" s="765"/>
      <c r="B32" s="1352"/>
      <c r="C32" s="984"/>
      <c r="D32" s="984"/>
      <c r="E32" s="984"/>
      <c r="F32" s="1368"/>
      <c r="I32" s="426" t="str">
        <f t="shared" si="5"/>
        <v/>
      </c>
      <c r="J32" s="909" t="str">
        <f t="shared" si="15"/>
        <v/>
      </c>
      <c r="K32" s="910" t="str">
        <f t="shared" si="0"/>
        <v/>
      </c>
      <c r="L32" s="1476"/>
      <c r="M32" s="1454"/>
      <c r="N32" s="1454"/>
      <c r="O32" s="1454"/>
      <c r="P32" s="1454" t="str">
        <f t="shared" si="7"/>
        <v/>
      </c>
      <c r="Q32" s="1454" t="str">
        <f>IF(L32="","",IF(AC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455"/>
      <c r="S32" s="1454"/>
      <c r="T32" s="1454"/>
      <c r="U32" s="1107" t="str" cm="1">
        <f t="array" ref="U32">IF(L32="","",IF(M32=AD32,1,Slookup(MID(AD32,1,3)*1,UomConversion!$D$8:$J$500,5,UomConversion!$E$8:$E$500,MID(M32,1,3)*1,UomConversion!$J$8:$J$500,1)))</f>
        <v/>
      </c>
      <c r="V32" s="732" t="str">
        <f t="shared" si="8"/>
        <v/>
      </c>
      <c r="W32" s="1104" t="str">
        <f t="shared" si="9"/>
        <v/>
      </c>
      <c r="X32" s="1104" t="str">
        <f t="shared" si="10"/>
        <v/>
      </c>
      <c r="Y32" s="732" t="str">
        <f>IF(I32="","",IF(ISNA(MATCH(I32,IF(MID(N32,1,3)*1=1,'[1]1_inventory_totals'!$C$8:$C$10000,IF(MID(N32,1,3)*1=2,'[1]2_inventory_totals'!$C$8:$C$10000,"")),0)),0,IF(AK32&gt;0,1,0)))</f>
        <v/>
      </c>
      <c r="Z32" s="732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A32" s="732" t="str">
        <f>IF(L32="","",IF(ISNA(MATCH(I32,'[1]1_group_totals'!$C$8:$C$10000)),0,IF(AL32&gt;0,1,0)))</f>
        <v/>
      </c>
      <c r="AB32" s="511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511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D32" s="511" t="str">
        <f t="shared" si="11"/>
        <v/>
      </c>
      <c r="AE32" s="511" t="str">
        <f>IF(ISNA(MATCH(MID(AD32,1,3)*1,UomConversion!$D$8:$D$500,0)),"",IF(AI32&lt;&gt;"",AI32,""))</f>
        <v/>
      </c>
      <c r="AF32" s="511" t="str">
        <f>IF(AND(AG32&gt;0,COUNTIFS(UomConversion!$D$8:$D$500,MID(AD32,1,3)*1,UomConversion!$J$8:$J$500,1)&gt;1),TEXT(AG32,"000")&amp;"."&amp;VLOOKUP(AG32,uom_list,4,FALSE),"")</f>
        <v/>
      </c>
      <c r="AG32" s="511" t="str">
        <f t="shared" si="12"/>
        <v/>
      </c>
      <c r="AH32" s="511" t="str">
        <f t="shared" si="13"/>
        <v/>
      </c>
      <c r="AI32" s="126" t="str">
        <f t="shared" si="14"/>
        <v/>
      </c>
      <c r="AJ32" s="126" t="str" cm="1">
        <f t="array" ref="AJ32">IF(L32="","",Slookup(MID(AD32,1,3)*1,UomConversion!$D$8:$J$500,2,UomConversion!$I$8:$I$500,1,UomConversion!$J$8:$J$500,1))</f>
        <v/>
      </c>
      <c r="AK32" s="126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L32" s="126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M32" s="128"/>
      <c r="AN32" s="128"/>
    </row>
    <row r="33" spans="1:40" ht="27" customHeight="1">
      <c r="A33" s="765"/>
      <c r="B33" s="1352"/>
      <c r="C33" s="984"/>
      <c r="D33" s="984"/>
      <c r="E33" s="984"/>
      <c r="F33" s="1368"/>
      <c r="I33" s="426" t="str">
        <f t="shared" si="5"/>
        <v/>
      </c>
      <c r="J33" s="909" t="str">
        <f t="shared" si="15"/>
        <v/>
      </c>
      <c r="K33" s="910" t="str">
        <f t="shared" si="0"/>
        <v/>
      </c>
      <c r="L33" s="1476"/>
      <c r="M33" s="1454"/>
      <c r="N33" s="1454"/>
      <c r="O33" s="1454"/>
      <c r="P33" s="1454" t="str">
        <f t="shared" si="7"/>
        <v/>
      </c>
      <c r="Q33" s="1454" t="str">
        <f>IF(L33="","",IF(AC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455"/>
      <c r="S33" s="1454"/>
      <c r="T33" s="1454"/>
      <c r="U33" s="1107" t="str" cm="1">
        <f t="array" ref="U33">IF(L33="","",IF(M33=AD33,1,Slookup(MID(AD33,1,3)*1,UomConversion!$D$8:$J$500,5,UomConversion!$E$8:$E$500,MID(M33,1,3)*1,UomConversion!$J$8:$J$500,1)))</f>
        <v/>
      </c>
      <c r="V33" s="732" t="str">
        <f t="shared" si="8"/>
        <v/>
      </c>
      <c r="W33" s="1104" t="str">
        <f t="shared" si="9"/>
        <v/>
      </c>
      <c r="X33" s="1104" t="str">
        <f t="shared" si="10"/>
        <v/>
      </c>
      <c r="Y33" s="732" t="str">
        <f>IF(I33="","",IF(ISNA(MATCH(I33,IF(MID(N33,1,3)*1=1,'[1]1_inventory_totals'!$C$8:$C$10000,IF(MID(N33,1,3)*1=2,'[1]2_inventory_totals'!$C$8:$C$10000,"")),0)),0,IF(AK33&gt;0,1,0)))</f>
        <v/>
      </c>
      <c r="Z33" s="732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A33" s="732" t="str">
        <f>IF(L33="","",IF(ISNA(MATCH(I33,'[1]1_group_totals'!$C$8:$C$10000)),0,IF(AL33&gt;0,1,0)))</f>
        <v/>
      </c>
      <c r="AB33" s="511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511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D33" s="511" t="str">
        <f t="shared" si="11"/>
        <v/>
      </c>
      <c r="AE33" s="511" t="str">
        <f>IF(ISNA(MATCH(MID(AD33,1,3)*1,UomConversion!$D$8:$D$500,0)),"",IF(AI33&lt;&gt;"",AI33,""))</f>
        <v/>
      </c>
      <c r="AF33" s="511" t="str">
        <f>IF(AND(AG33&gt;0,COUNTIFS(UomConversion!$D$8:$D$500,MID(AD33,1,3)*1,UomConversion!$J$8:$J$500,1)&gt;1),TEXT(AG33,"000")&amp;"."&amp;VLOOKUP(AG33,uom_list,4,FALSE),"")</f>
        <v/>
      </c>
      <c r="AG33" s="511" t="str">
        <f t="shared" si="12"/>
        <v/>
      </c>
      <c r="AH33" s="511" t="str">
        <f t="shared" si="13"/>
        <v/>
      </c>
      <c r="AI33" s="126" t="str">
        <f t="shared" si="14"/>
        <v/>
      </c>
      <c r="AJ33" s="126" t="str" cm="1">
        <f t="array" ref="AJ33">IF(L33="","",Slookup(MID(AD33,1,3)*1,UomConversion!$D$8:$J$500,2,UomConversion!$I$8:$I$500,1,UomConversion!$J$8:$J$500,1))</f>
        <v/>
      </c>
      <c r="AK33" s="126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L33" s="126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M33" s="128"/>
      <c r="AN33" s="128"/>
    </row>
    <row r="34" spans="1:40" ht="27" customHeight="1">
      <c r="A34" s="765"/>
      <c r="B34" s="1352"/>
      <c r="C34" s="984"/>
      <c r="D34" s="984"/>
      <c r="E34" s="984"/>
      <c r="F34" s="1368"/>
      <c r="I34" s="426" t="str">
        <f t="shared" si="5"/>
        <v/>
      </c>
      <c r="J34" s="909" t="str">
        <f t="shared" si="15"/>
        <v/>
      </c>
      <c r="K34" s="910" t="str">
        <f t="shared" si="0"/>
        <v/>
      </c>
      <c r="L34" s="1476"/>
      <c r="M34" s="1454"/>
      <c r="N34" s="1454"/>
      <c r="O34" s="1454"/>
      <c r="P34" s="1454" t="str">
        <f t="shared" si="7"/>
        <v/>
      </c>
      <c r="Q34" s="1454" t="str">
        <f>IF(L34="","",IF(AC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455"/>
      <c r="S34" s="1454"/>
      <c r="T34" s="1454"/>
      <c r="U34" s="1107" t="str" cm="1">
        <f t="array" ref="U34">IF(L34="","",IF(M34=AD34,1,Slookup(MID(AD34,1,3)*1,UomConversion!$D$8:$J$500,5,UomConversion!$E$8:$E$500,MID(M34,1,3)*1,UomConversion!$J$8:$J$500,1)))</f>
        <v/>
      </c>
      <c r="V34" s="732" t="str">
        <f t="shared" si="8"/>
        <v/>
      </c>
      <c r="W34" s="1104" t="str">
        <f t="shared" si="9"/>
        <v/>
      </c>
      <c r="X34" s="1104" t="str">
        <f t="shared" si="10"/>
        <v/>
      </c>
      <c r="Y34" s="732" t="str">
        <f>IF(I34="","",IF(ISNA(MATCH(I34,IF(MID(N34,1,3)*1=1,'[1]1_inventory_totals'!$C$8:$C$10000,IF(MID(N34,1,3)*1=2,'[1]2_inventory_totals'!$C$8:$C$10000,"")),0)),0,IF(AK34&gt;0,1,0)))</f>
        <v/>
      </c>
      <c r="Z34" s="732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A34" s="732" t="str">
        <f>IF(L34="","",IF(ISNA(MATCH(I34,'[1]1_group_totals'!$C$8:$C$10000)),0,IF(AL34&gt;0,1,0)))</f>
        <v/>
      </c>
      <c r="AB34" s="511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511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D34" s="511" t="str">
        <f t="shared" si="11"/>
        <v/>
      </c>
      <c r="AE34" s="511" t="str">
        <f>IF(ISNA(MATCH(MID(AD34,1,3)*1,UomConversion!$D$8:$D$500,0)),"",IF(AI34&lt;&gt;"",AI34,""))</f>
        <v/>
      </c>
      <c r="AF34" s="511" t="str">
        <f>IF(AND(AG34&gt;0,COUNTIFS(UomConversion!$D$8:$D$500,MID(AD34,1,3)*1,UomConversion!$J$8:$J$500,1)&gt;1),TEXT(AG34,"000")&amp;"."&amp;VLOOKUP(AG34,uom_list,4,FALSE),"")</f>
        <v/>
      </c>
      <c r="AG34" s="511" t="str">
        <f t="shared" si="12"/>
        <v/>
      </c>
      <c r="AH34" s="511" t="str">
        <f t="shared" si="13"/>
        <v/>
      </c>
      <c r="AI34" s="126" t="str">
        <f t="shared" si="14"/>
        <v/>
      </c>
      <c r="AJ34" s="126" t="str" cm="1">
        <f t="array" ref="AJ34">IF(L34="","",Slookup(MID(AD34,1,3)*1,UomConversion!$D$8:$J$500,2,UomConversion!$I$8:$I$500,1,UomConversion!$J$8:$J$500,1))</f>
        <v/>
      </c>
      <c r="AK34" s="126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L34" s="126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M34" s="128"/>
      <c r="AN34" s="128"/>
    </row>
    <row r="35" spans="1:40" ht="27" customHeight="1">
      <c r="A35" s="765"/>
      <c r="B35" s="1352"/>
      <c r="C35" s="984"/>
      <c r="D35" s="984"/>
      <c r="E35" s="984"/>
      <c r="F35" s="1368"/>
      <c r="I35" s="426" t="str">
        <f t="shared" si="5"/>
        <v/>
      </c>
      <c r="J35" s="909" t="str">
        <f t="shared" si="15"/>
        <v/>
      </c>
      <c r="K35" s="910" t="str">
        <f t="shared" si="0"/>
        <v/>
      </c>
      <c r="L35" s="1476"/>
      <c r="M35" s="1454"/>
      <c r="N35" s="1454"/>
      <c r="O35" s="1454"/>
      <c r="P35" s="1454" t="str">
        <f t="shared" si="7"/>
        <v/>
      </c>
      <c r="Q35" s="1454" t="str">
        <f>IF(L35="","",IF(AC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455"/>
      <c r="S35" s="1454"/>
      <c r="T35" s="1454"/>
      <c r="U35" s="1107" t="str" cm="1">
        <f t="array" ref="U35">IF(L35="","",IF(M35=AD35,1,Slookup(MID(AD35,1,3)*1,UomConversion!$D$8:$J$500,5,UomConversion!$E$8:$E$500,MID(M35,1,3)*1,UomConversion!$J$8:$J$500,1)))</f>
        <v/>
      </c>
      <c r="V35" s="732" t="str">
        <f t="shared" si="8"/>
        <v/>
      </c>
      <c r="W35" s="1104" t="str">
        <f t="shared" si="9"/>
        <v/>
      </c>
      <c r="X35" s="1104" t="str">
        <f t="shared" si="10"/>
        <v/>
      </c>
      <c r="Y35" s="732" t="str">
        <f>IF(I35="","",IF(ISNA(MATCH(I35,IF(MID(N35,1,3)*1=1,'[1]1_inventory_totals'!$C$8:$C$10000,IF(MID(N35,1,3)*1=2,'[1]2_inventory_totals'!$C$8:$C$10000,"")),0)),0,IF(AK35&gt;0,1,0)))</f>
        <v/>
      </c>
      <c r="Z35" s="732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A35" s="732" t="str">
        <f>IF(L35="","",IF(ISNA(MATCH(I35,'[1]1_group_totals'!$C$8:$C$10000)),0,IF(AL35&gt;0,1,0)))</f>
        <v/>
      </c>
      <c r="AB35" s="511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511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D35" s="511" t="str">
        <f t="shared" si="11"/>
        <v/>
      </c>
      <c r="AE35" s="511" t="str">
        <f>IF(ISNA(MATCH(MID(AD35,1,3)*1,UomConversion!$D$8:$D$500,0)),"",IF(AI35&lt;&gt;"",AI35,""))</f>
        <v/>
      </c>
      <c r="AF35" s="511" t="str">
        <f>IF(AND(AG35&gt;0,COUNTIFS(UomConversion!$D$8:$D$500,MID(AD35,1,3)*1,UomConversion!$J$8:$J$500,1)&gt;1),TEXT(AG35,"000")&amp;"."&amp;VLOOKUP(AG35,uom_list,4,FALSE),"")</f>
        <v/>
      </c>
      <c r="AG35" s="511" t="str">
        <f t="shared" si="12"/>
        <v/>
      </c>
      <c r="AH35" s="511" t="str">
        <f t="shared" si="13"/>
        <v/>
      </c>
      <c r="AI35" s="126" t="str">
        <f t="shared" si="14"/>
        <v/>
      </c>
      <c r="AJ35" s="126" t="str" cm="1">
        <f t="array" ref="AJ35">IF(L35="","",Slookup(MID(AD35,1,3)*1,UomConversion!$D$8:$J$500,2,UomConversion!$I$8:$I$500,1,UomConversion!$J$8:$J$500,1))</f>
        <v/>
      </c>
      <c r="AK35" s="126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L35" s="126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M35" s="128"/>
      <c r="AN35" s="128"/>
    </row>
    <row r="36" spans="1:40" ht="27" customHeight="1">
      <c r="A36" s="765"/>
      <c r="B36" s="1352"/>
      <c r="C36" s="984"/>
      <c r="D36" s="984"/>
      <c r="E36" s="984"/>
      <c r="F36" s="1368"/>
      <c r="I36" s="426" t="str">
        <f t="shared" si="5"/>
        <v/>
      </c>
      <c r="J36" s="909" t="str">
        <f t="shared" si="15"/>
        <v/>
      </c>
      <c r="K36" s="910" t="str">
        <f t="shared" si="0"/>
        <v/>
      </c>
      <c r="L36" s="1476"/>
      <c r="M36" s="1454"/>
      <c r="N36" s="1454"/>
      <c r="O36" s="1454"/>
      <c r="P36" s="1454" t="str">
        <f t="shared" si="7"/>
        <v/>
      </c>
      <c r="Q36" s="1454" t="str">
        <f>IF(L36="","",IF(AC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455"/>
      <c r="S36" s="1454"/>
      <c r="T36" s="1454"/>
      <c r="U36" s="1107" t="str" cm="1">
        <f t="array" ref="U36">IF(L36="","",IF(M36=AD36,1,Slookup(MID(AD36,1,3)*1,UomConversion!$D$8:$J$500,5,UomConversion!$E$8:$E$500,MID(M36,1,3)*1,UomConversion!$J$8:$J$500,1)))</f>
        <v/>
      </c>
      <c r="V36" s="732" t="str">
        <f t="shared" si="8"/>
        <v/>
      </c>
      <c r="W36" s="1104" t="str">
        <f t="shared" si="9"/>
        <v/>
      </c>
      <c r="X36" s="1104" t="str">
        <f t="shared" si="10"/>
        <v/>
      </c>
      <c r="Y36" s="732" t="str">
        <f>IF(I36="","",IF(ISNA(MATCH(I36,IF(MID(N36,1,3)*1=1,'[1]1_inventory_totals'!$C$8:$C$10000,IF(MID(N36,1,3)*1=2,'[1]2_inventory_totals'!$C$8:$C$10000,"")),0)),0,IF(AK36&gt;0,1,0)))</f>
        <v/>
      </c>
      <c r="Z36" s="732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A36" s="732" t="str">
        <f>IF(L36="","",IF(ISNA(MATCH(I36,'[1]1_group_totals'!$C$8:$C$10000)),0,IF(AL36&gt;0,1,0)))</f>
        <v/>
      </c>
      <c r="AB36" s="511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511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D36" s="511" t="str">
        <f t="shared" si="11"/>
        <v/>
      </c>
      <c r="AE36" s="511" t="str">
        <f>IF(ISNA(MATCH(MID(AD36,1,3)*1,UomConversion!$D$8:$D$500,0)),"",IF(AI36&lt;&gt;"",AI36,""))</f>
        <v/>
      </c>
      <c r="AF36" s="511" t="str">
        <f>IF(AND(AG36&gt;0,COUNTIFS(UomConversion!$D$8:$D$500,MID(AD36,1,3)*1,UomConversion!$J$8:$J$500,1)&gt;1),TEXT(AG36,"000")&amp;"."&amp;VLOOKUP(AG36,uom_list,4,FALSE),"")</f>
        <v/>
      </c>
      <c r="AG36" s="511" t="str">
        <f t="shared" si="12"/>
        <v/>
      </c>
      <c r="AH36" s="511" t="str">
        <f t="shared" si="13"/>
        <v/>
      </c>
      <c r="AI36" s="126" t="str">
        <f t="shared" si="14"/>
        <v/>
      </c>
      <c r="AJ36" s="126" t="str" cm="1">
        <f t="array" ref="AJ36">IF(L36="","",Slookup(MID(AD36,1,3)*1,UomConversion!$D$8:$J$500,2,UomConversion!$I$8:$I$500,1,UomConversion!$J$8:$J$500,1))</f>
        <v/>
      </c>
      <c r="AK36" s="126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L36" s="126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M36" s="128"/>
      <c r="AN36" s="128"/>
    </row>
    <row r="37" spans="1:40" ht="27" customHeight="1">
      <c r="A37" s="765"/>
      <c r="B37" s="1352"/>
      <c r="C37" s="984"/>
      <c r="D37" s="984"/>
      <c r="E37" s="984"/>
      <c r="F37" s="1368"/>
      <c r="I37" s="426" t="str">
        <f t="shared" si="5"/>
        <v/>
      </c>
      <c r="J37" s="909" t="str">
        <f t="shared" si="15"/>
        <v/>
      </c>
      <c r="K37" s="910" t="str">
        <f t="shared" si="0"/>
        <v/>
      </c>
      <c r="L37" s="1476"/>
      <c r="M37" s="1454"/>
      <c r="N37" s="1454"/>
      <c r="O37" s="1454"/>
      <c r="P37" s="1454" t="str">
        <f t="shared" si="7"/>
        <v/>
      </c>
      <c r="Q37" s="1454" t="str">
        <f>IF(L37="","",IF(AC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455"/>
      <c r="S37" s="1454"/>
      <c r="T37" s="1454"/>
      <c r="U37" s="1107" t="str" cm="1">
        <f t="array" ref="U37">IF(L37="","",IF(M37=AD37,1,Slookup(MID(AD37,1,3)*1,UomConversion!$D$8:$J$500,5,UomConversion!$E$8:$E$500,MID(M37,1,3)*1,UomConversion!$J$8:$J$500,1)))</f>
        <v/>
      </c>
      <c r="V37" s="732" t="str">
        <f t="shared" si="8"/>
        <v/>
      </c>
      <c r="W37" s="1104" t="str">
        <f t="shared" si="9"/>
        <v/>
      </c>
      <c r="X37" s="1104" t="str">
        <f t="shared" si="10"/>
        <v/>
      </c>
      <c r="Y37" s="732" t="str">
        <f>IF(I37="","",IF(ISNA(MATCH(I37,IF(MID(N37,1,3)*1=1,'[1]1_inventory_totals'!$C$8:$C$10000,IF(MID(N37,1,3)*1=2,'[1]2_inventory_totals'!$C$8:$C$10000,"")),0)),0,IF(AK37&gt;0,1,0)))</f>
        <v/>
      </c>
      <c r="Z37" s="732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A37" s="732" t="str">
        <f>IF(L37="","",IF(ISNA(MATCH(I37,'[1]1_group_totals'!$C$8:$C$10000)),0,IF(AL37&gt;0,1,0)))</f>
        <v/>
      </c>
      <c r="AB37" s="511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511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D37" s="511" t="str">
        <f t="shared" si="11"/>
        <v/>
      </c>
      <c r="AE37" s="511" t="str">
        <f>IF(ISNA(MATCH(MID(AD37,1,3)*1,UomConversion!$D$8:$D$500,0)),"",IF(AI37&lt;&gt;"",AI37,""))</f>
        <v/>
      </c>
      <c r="AF37" s="511" t="str">
        <f>IF(AND(AG37&gt;0,COUNTIFS(UomConversion!$D$8:$D$500,MID(AD37,1,3)*1,UomConversion!$J$8:$J$500,1)&gt;1),TEXT(AG37,"000")&amp;"."&amp;VLOOKUP(AG37,uom_list,4,FALSE),"")</f>
        <v/>
      </c>
      <c r="AG37" s="511" t="str">
        <f t="shared" si="12"/>
        <v/>
      </c>
      <c r="AH37" s="511" t="str">
        <f t="shared" si="13"/>
        <v/>
      </c>
      <c r="AI37" s="126" t="str">
        <f t="shared" si="14"/>
        <v/>
      </c>
      <c r="AJ37" s="126" t="str" cm="1">
        <f t="array" ref="AJ37">IF(L37="","",Slookup(MID(AD37,1,3)*1,UomConversion!$D$8:$J$500,2,UomConversion!$I$8:$I$500,1,UomConversion!$J$8:$J$500,1))</f>
        <v/>
      </c>
      <c r="AK37" s="126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L37" s="126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M37" s="128"/>
      <c r="AN37" s="128"/>
    </row>
    <row r="38" spans="1:40" ht="27" customHeight="1">
      <c r="A38" s="765"/>
      <c r="B38" s="1352"/>
      <c r="C38" s="984"/>
      <c r="D38" s="984"/>
      <c r="E38" s="984"/>
      <c r="F38" s="1368"/>
      <c r="I38" s="426" t="str">
        <f t="shared" si="5"/>
        <v/>
      </c>
      <c r="J38" s="909" t="str">
        <f t="shared" si="15"/>
        <v/>
      </c>
      <c r="K38" s="910" t="str">
        <f t="shared" si="0"/>
        <v/>
      </c>
      <c r="L38" s="1476"/>
      <c r="M38" s="1454"/>
      <c r="N38" s="1454"/>
      <c r="O38" s="1454"/>
      <c r="P38" s="1454" t="str">
        <f t="shared" si="7"/>
        <v/>
      </c>
      <c r="Q38" s="1454" t="str">
        <f>IF(L38="","",IF(AC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455"/>
      <c r="S38" s="1454"/>
      <c r="T38" s="1454"/>
      <c r="U38" s="1107" t="str" cm="1">
        <f t="array" ref="U38">IF(L38="","",IF(M38=AD38,1,Slookup(MID(AD38,1,3)*1,UomConversion!$D$8:$J$500,5,UomConversion!$E$8:$E$500,MID(M38,1,3)*1,UomConversion!$J$8:$J$500,1)))</f>
        <v/>
      </c>
      <c r="V38" s="732" t="str">
        <f t="shared" si="8"/>
        <v/>
      </c>
      <c r="W38" s="1104" t="str">
        <f t="shared" si="9"/>
        <v/>
      </c>
      <c r="X38" s="1104" t="str">
        <f t="shared" si="10"/>
        <v/>
      </c>
      <c r="Y38" s="732" t="str">
        <f>IF(I38="","",IF(ISNA(MATCH(I38,IF(MID(N38,1,3)*1=1,'[1]1_inventory_totals'!$C$8:$C$10000,IF(MID(N38,1,3)*1=2,'[1]2_inventory_totals'!$C$8:$C$10000,"")),0)),0,IF(AK38&gt;0,1,0)))</f>
        <v/>
      </c>
      <c r="Z38" s="732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A38" s="732" t="str">
        <f>IF(L38="","",IF(ISNA(MATCH(I38,'[1]1_group_totals'!$C$8:$C$10000)),0,IF(AL38&gt;0,1,0)))</f>
        <v/>
      </c>
      <c r="AB38" s="511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511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D38" s="511" t="str">
        <f t="shared" si="11"/>
        <v/>
      </c>
      <c r="AE38" s="511" t="str">
        <f>IF(ISNA(MATCH(MID(AD38,1,3)*1,UomConversion!$D$8:$D$500,0)),"",IF(AI38&lt;&gt;"",AI38,""))</f>
        <v/>
      </c>
      <c r="AF38" s="511" t="str">
        <f>IF(AND(AG38&gt;0,COUNTIFS(UomConversion!$D$8:$D$500,MID(AD38,1,3)*1,UomConversion!$J$8:$J$500,1)&gt;1),TEXT(AG38,"000")&amp;"."&amp;VLOOKUP(AG38,uom_list,4,FALSE),"")</f>
        <v/>
      </c>
      <c r="AG38" s="511" t="str">
        <f t="shared" si="12"/>
        <v/>
      </c>
      <c r="AH38" s="511" t="str">
        <f t="shared" si="13"/>
        <v/>
      </c>
      <c r="AI38" s="126" t="str">
        <f t="shared" si="14"/>
        <v/>
      </c>
      <c r="AJ38" s="126" t="str" cm="1">
        <f t="array" ref="AJ38">IF(L38="","",Slookup(MID(AD38,1,3)*1,UomConversion!$D$8:$J$500,2,UomConversion!$I$8:$I$500,1,UomConversion!$J$8:$J$500,1))</f>
        <v/>
      </c>
      <c r="AK38" s="126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L38" s="126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M38" s="128"/>
      <c r="AN38" s="128"/>
    </row>
    <row r="39" spans="1:40" ht="27" customHeight="1">
      <c r="A39" s="765"/>
      <c r="B39" s="1352"/>
      <c r="C39" s="984"/>
      <c r="D39" s="984"/>
      <c r="E39" s="984"/>
      <c r="F39" s="1368"/>
      <c r="I39" s="426" t="str">
        <f t="shared" si="5"/>
        <v/>
      </c>
      <c r="J39" s="909" t="str">
        <f t="shared" si="15"/>
        <v/>
      </c>
      <c r="K39" s="910" t="str">
        <f t="shared" si="0"/>
        <v/>
      </c>
      <c r="L39" s="1476"/>
      <c r="M39" s="1454"/>
      <c r="N39" s="1454"/>
      <c r="O39" s="1454"/>
      <c r="P39" s="1454" t="str">
        <f t="shared" si="7"/>
        <v/>
      </c>
      <c r="Q39" s="1454" t="str">
        <f>IF(L39="","",IF(AC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455"/>
      <c r="S39" s="1454"/>
      <c r="T39" s="1454"/>
      <c r="U39" s="1107" t="str" cm="1">
        <f t="array" ref="U39">IF(L39="","",IF(M39=AD39,1,Slookup(MID(AD39,1,3)*1,UomConversion!$D$8:$J$500,5,UomConversion!$E$8:$E$500,MID(M39,1,3)*1,UomConversion!$J$8:$J$500,1)))</f>
        <v/>
      </c>
      <c r="V39" s="732" t="str">
        <f t="shared" si="8"/>
        <v/>
      </c>
      <c r="W39" s="1104" t="str">
        <f t="shared" si="9"/>
        <v/>
      </c>
      <c r="X39" s="1104" t="str">
        <f t="shared" si="10"/>
        <v/>
      </c>
      <c r="Y39" s="732" t="str">
        <f>IF(I39="","",IF(ISNA(MATCH(I39,IF(MID(N39,1,3)*1=1,'[1]1_inventory_totals'!$C$8:$C$10000,IF(MID(N39,1,3)*1=2,'[1]2_inventory_totals'!$C$8:$C$10000,"")),0)),0,IF(AK39&gt;0,1,0)))</f>
        <v/>
      </c>
      <c r="Z39" s="732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A39" s="732" t="str">
        <f>IF(L39="","",IF(ISNA(MATCH(I39,'[1]1_group_totals'!$C$8:$C$10000)),0,IF(AL39&gt;0,1,0)))</f>
        <v/>
      </c>
      <c r="AB39" s="511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511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D39" s="511" t="str">
        <f t="shared" si="11"/>
        <v/>
      </c>
      <c r="AE39" s="511" t="str">
        <f>IF(ISNA(MATCH(MID(AD39,1,3)*1,UomConversion!$D$8:$D$500,0)),"",IF(AI39&lt;&gt;"",AI39,""))</f>
        <v/>
      </c>
      <c r="AF39" s="511" t="str">
        <f>IF(AND(AG39&gt;0,COUNTIFS(UomConversion!$D$8:$D$500,MID(AD39,1,3)*1,UomConversion!$J$8:$J$500,1)&gt;1),TEXT(AG39,"000")&amp;"."&amp;VLOOKUP(AG39,uom_list,4,FALSE),"")</f>
        <v/>
      </c>
      <c r="AG39" s="511" t="str">
        <f t="shared" si="12"/>
        <v/>
      </c>
      <c r="AH39" s="511" t="str">
        <f t="shared" si="13"/>
        <v/>
      </c>
      <c r="AI39" s="126" t="str">
        <f t="shared" si="14"/>
        <v/>
      </c>
      <c r="AJ39" s="126" t="str" cm="1">
        <f t="array" ref="AJ39">IF(L39="","",Slookup(MID(AD39,1,3)*1,UomConversion!$D$8:$J$500,2,UomConversion!$I$8:$I$500,1,UomConversion!$J$8:$J$500,1))</f>
        <v/>
      </c>
      <c r="AK39" s="126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L39" s="126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M39" s="128"/>
      <c r="AN39" s="128"/>
    </row>
    <row r="40" spans="1:40" ht="27" customHeight="1">
      <c r="A40" s="765"/>
      <c r="B40" s="1352"/>
      <c r="C40" s="984"/>
      <c r="D40" s="984"/>
      <c r="E40" s="984"/>
      <c r="F40" s="1368"/>
      <c r="I40" s="426" t="str">
        <f t="shared" si="5"/>
        <v/>
      </c>
      <c r="J40" s="909" t="str">
        <f t="shared" si="15"/>
        <v/>
      </c>
      <c r="K40" s="910" t="str">
        <f t="shared" ref="K40:K71" si="16">IF(L40="","",VLOOKUP(I40,product_list,2,FALSE))</f>
        <v/>
      </c>
      <c r="L40" s="1476"/>
      <c r="M40" s="1454"/>
      <c r="N40" s="1454"/>
      <c r="O40" s="1454"/>
      <c r="P40" s="1454" t="str">
        <f t="shared" ref="P40:P71" si="17">IF(AND(adj_type&lt;&gt;"",L40&lt;&gt;"",M40&lt;&gt;""),IF(adj_type=1,O40*V40/U40,O40*V40/U40-Q40),"")</f>
        <v/>
      </c>
      <c r="Q40" s="1454" t="str">
        <f>IF(L40="","",IF(AC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455"/>
      <c r="S40" s="1454"/>
      <c r="T40" s="1454"/>
      <c r="U40" s="1107" t="str" cm="1">
        <f t="array" ref="U40">IF(L40="","",IF(M40=AD40,1,Slookup(MID(AD40,1,3)*1,UomConversion!$D$8:$J$500,5,UomConversion!$E$8:$E$500,MID(M40,1,3)*1,UomConversion!$J$8:$J$500,1)))</f>
        <v/>
      </c>
      <c r="V40" s="732" t="str">
        <f t="shared" si="8"/>
        <v/>
      </c>
      <c r="W40" s="1104" t="str">
        <f t="shared" si="9"/>
        <v/>
      </c>
      <c r="X40" s="1104" t="str">
        <f t="shared" si="10"/>
        <v/>
      </c>
      <c r="Y40" s="732" t="str">
        <f>IF(I40="","",IF(ISNA(MATCH(I40,IF(MID(N40,1,3)*1=1,'[1]1_inventory_totals'!$C$8:$C$10000,IF(MID(N40,1,3)*1=2,'[1]2_inventory_totals'!$C$8:$C$10000,"")),0)),0,IF(AK40&gt;0,1,0)))</f>
        <v/>
      </c>
      <c r="Z40" s="732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A40" s="732" t="str">
        <f>IF(L40="","",IF(ISNA(MATCH(I40,'[1]1_group_totals'!$C$8:$C$10000)),0,IF(AL40&gt;0,1,0)))</f>
        <v/>
      </c>
      <c r="AB40" s="511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511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D40" s="511" t="str">
        <f t="shared" si="11"/>
        <v/>
      </c>
      <c r="AE40" s="511" t="str">
        <f>IF(ISNA(MATCH(MID(AD40,1,3)*1,UomConversion!$D$8:$D$500,0)),"",IF(AI40&lt;&gt;"",AI40,""))</f>
        <v/>
      </c>
      <c r="AF40" s="511" t="str">
        <f>IF(AND(AG40&gt;0,COUNTIFS(UomConversion!$D$8:$D$500,MID(AD40,1,3)*1,UomConversion!$J$8:$J$500,1)&gt;1),TEXT(AG40,"000")&amp;"."&amp;VLOOKUP(AG40,uom_list,4,FALSE),"")</f>
        <v/>
      </c>
      <c r="AG40" s="511" t="str">
        <f t="shared" si="12"/>
        <v/>
      </c>
      <c r="AH40" s="511" t="str">
        <f t="shared" si="13"/>
        <v/>
      </c>
      <c r="AI40" s="126" t="str">
        <f t="shared" si="14"/>
        <v/>
      </c>
      <c r="AJ40" s="126" t="str" cm="1">
        <f t="array" ref="AJ40">IF(L40="","",Slookup(MID(AD40,1,3)*1,UomConversion!$D$8:$J$500,2,UomConversion!$I$8:$I$500,1,UomConversion!$J$8:$J$500,1))</f>
        <v/>
      </c>
      <c r="AK40" s="126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L40" s="126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M40" s="128"/>
      <c r="AN40" s="128"/>
    </row>
    <row r="41" spans="1:40" ht="27" customHeight="1">
      <c r="A41" s="765"/>
      <c r="B41" s="1352"/>
      <c r="C41" s="984"/>
      <c r="D41" s="984"/>
      <c r="E41" s="984"/>
      <c r="F41" s="1368"/>
      <c r="I41" s="426" t="str">
        <f t="shared" si="5"/>
        <v/>
      </c>
      <c r="J41" s="909" t="str">
        <f t="shared" si="15"/>
        <v/>
      </c>
      <c r="K41" s="910" t="str">
        <f t="shared" si="16"/>
        <v/>
      </c>
      <c r="L41" s="1476"/>
      <c r="M41" s="1454"/>
      <c r="N41" s="1454"/>
      <c r="O41" s="1454"/>
      <c r="P41" s="1454" t="str">
        <f t="shared" si="17"/>
        <v/>
      </c>
      <c r="Q41" s="1454" t="str">
        <f>IF(L41="","",IF(AC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455"/>
      <c r="S41" s="1454"/>
      <c r="T41" s="1454"/>
      <c r="U41" s="1107" t="str" cm="1">
        <f t="array" ref="U41">IF(L41="","",IF(M41=AD41,1,Slookup(MID(AD41,1,3)*1,UomConversion!$D$8:$J$500,5,UomConversion!$E$8:$E$500,MID(M41,1,3)*1,UomConversion!$J$8:$J$500,1)))</f>
        <v/>
      </c>
      <c r="V41" s="732" t="str">
        <f t="shared" si="8"/>
        <v/>
      </c>
      <c r="W41" s="1104" t="str">
        <f t="shared" si="9"/>
        <v/>
      </c>
      <c r="X41" s="1104" t="str">
        <f t="shared" si="10"/>
        <v/>
      </c>
      <c r="Y41" s="732" t="str">
        <f>IF(I41="","",IF(ISNA(MATCH(I41,IF(MID(N41,1,3)*1=1,'[1]1_inventory_totals'!$C$8:$C$10000,IF(MID(N41,1,3)*1=2,'[1]2_inventory_totals'!$C$8:$C$10000,"")),0)),0,IF(AK41&gt;0,1,0)))</f>
        <v/>
      </c>
      <c r="Z41" s="732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A41" s="732" t="str">
        <f>IF(L41="","",IF(ISNA(MATCH(I41,'[1]1_group_totals'!$C$8:$C$10000)),0,IF(AL41&gt;0,1,0)))</f>
        <v/>
      </c>
      <c r="AB41" s="511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511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D41" s="511" t="str">
        <f t="shared" si="11"/>
        <v/>
      </c>
      <c r="AE41" s="511" t="str">
        <f>IF(ISNA(MATCH(MID(AD41,1,3)*1,UomConversion!$D$8:$D$500,0)),"",IF(AI41&lt;&gt;"",AI41,""))</f>
        <v/>
      </c>
      <c r="AF41" s="511" t="str">
        <f>IF(AND(AG41&gt;0,COUNTIFS(UomConversion!$D$8:$D$500,MID(AD41,1,3)*1,UomConversion!$J$8:$J$500,1)&gt;1),TEXT(AG41,"000")&amp;"."&amp;VLOOKUP(AG41,uom_list,4,FALSE),"")</f>
        <v/>
      </c>
      <c r="AG41" s="511" t="str">
        <f t="shared" si="12"/>
        <v/>
      </c>
      <c r="AH41" s="511" t="str">
        <f t="shared" si="13"/>
        <v/>
      </c>
      <c r="AI41" s="126" t="str">
        <f t="shared" si="14"/>
        <v/>
      </c>
      <c r="AJ41" s="126" t="str" cm="1">
        <f t="array" ref="AJ41">IF(L41="","",Slookup(MID(AD41,1,3)*1,UomConversion!$D$8:$J$500,2,UomConversion!$I$8:$I$500,1,UomConversion!$J$8:$J$500,1))</f>
        <v/>
      </c>
      <c r="AK41" s="126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L41" s="126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M41" s="128"/>
      <c r="AN41" s="128"/>
    </row>
    <row r="42" spans="1:40" ht="27" customHeight="1">
      <c r="A42" s="765"/>
      <c r="B42" s="1352"/>
      <c r="C42" s="984"/>
      <c r="D42" s="984"/>
      <c r="E42" s="984"/>
      <c r="F42" s="1368"/>
      <c r="I42" s="426" t="str">
        <f t="shared" si="5"/>
        <v/>
      </c>
      <c r="J42" s="909" t="str">
        <f t="shared" si="15"/>
        <v/>
      </c>
      <c r="K42" s="910" t="str">
        <f t="shared" si="16"/>
        <v/>
      </c>
      <c r="L42" s="1476"/>
      <c r="M42" s="1454"/>
      <c r="N42" s="1454"/>
      <c r="O42" s="1454"/>
      <c r="P42" s="1454" t="str">
        <f t="shared" si="17"/>
        <v/>
      </c>
      <c r="Q42" s="1454" t="str">
        <f>IF(L42="","",IF(AC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455"/>
      <c r="S42" s="1454"/>
      <c r="T42" s="1454"/>
      <c r="U42" s="1107" t="str" cm="1">
        <f t="array" ref="U42">IF(L42="","",IF(M42=AD42,1,Slookup(MID(AD42,1,3)*1,UomConversion!$D$8:$J$500,5,UomConversion!$E$8:$E$500,MID(M42,1,3)*1,UomConversion!$J$8:$J$500,1)))</f>
        <v/>
      </c>
      <c r="V42" s="732" t="str">
        <f t="shared" si="8"/>
        <v/>
      </c>
      <c r="W42" s="1104" t="str">
        <f t="shared" si="9"/>
        <v/>
      </c>
      <c r="X42" s="1104" t="str">
        <f t="shared" si="10"/>
        <v/>
      </c>
      <c r="Y42" s="732" t="str">
        <f>IF(I42="","",IF(ISNA(MATCH(I42,IF(MID(N42,1,3)*1=1,'[1]1_inventory_totals'!$C$8:$C$10000,IF(MID(N42,1,3)*1=2,'[1]2_inventory_totals'!$C$8:$C$10000,"")),0)),0,IF(AK42&gt;0,1,0)))</f>
        <v/>
      </c>
      <c r="Z42" s="732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A42" s="732" t="str">
        <f>IF(L42="","",IF(ISNA(MATCH(I42,'[1]1_group_totals'!$C$8:$C$10000)),0,IF(AL42&gt;0,1,0)))</f>
        <v/>
      </c>
      <c r="AB42" s="511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511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D42" s="511" t="str">
        <f t="shared" si="11"/>
        <v/>
      </c>
      <c r="AE42" s="511" t="str">
        <f>IF(ISNA(MATCH(MID(AD42,1,3)*1,UomConversion!$D$8:$D$500,0)),"",IF(AI42&lt;&gt;"",AI42,""))</f>
        <v/>
      </c>
      <c r="AF42" s="511" t="str">
        <f>IF(AND(AG42&gt;0,COUNTIFS(UomConversion!$D$8:$D$500,MID(AD42,1,3)*1,UomConversion!$J$8:$J$500,1)&gt;1),TEXT(AG42,"000")&amp;"."&amp;VLOOKUP(AG42,uom_list,4,FALSE),"")</f>
        <v/>
      </c>
      <c r="AG42" s="511" t="str">
        <f t="shared" si="12"/>
        <v/>
      </c>
      <c r="AH42" s="511" t="str">
        <f t="shared" si="13"/>
        <v/>
      </c>
      <c r="AI42" s="126" t="str">
        <f t="shared" si="14"/>
        <v/>
      </c>
      <c r="AJ42" s="126" t="str" cm="1">
        <f t="array" ref="AJ42">IF(L42="","",Slookup(MID(AD42,1,3)*1,UomConversion!$D$8:$J$500,2,UomConversion!$I$8:$I$500,1,UomConversion!$J$8:$J$500,1))</f>
        <v/>
      </c>
      <c r="AK42" s="126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L42" s="126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M42" s="128"/>
      <c r="AN42" s="128"/>
    </row>
    <row r="43" spans="1:40" ht="27" customHeight="1">
      <c r="A43" s="765"/>
      <c r="B43" s="1352"/>
      <c r="C43" s="984"/>
      <c r="D43" s="984"/>
      <c r="E43" s="984"/>
      <c r="F43" s="1368"/>
      <c r="I43" s="426" t="str">
        <f t="shared" si="5"/>
        <v/>
      </c>
      <c r="J43" s="909" t="str">
        <f t="shared" si="15"/>
        <v/>
      </c>
      <c r="K43" s="910" t="str">
        <f t="shared" si="16"/>
        <v/>
      </c>
      <c r="L43" s="1476"/>
      <c r="M43" s="1454"/>
      <c r="N43" s="1454"/>
      <c r="O43" s="1454"/>
      <c r="P43" s="1454" t="str">
        <f t="shared" si="17"/>
        <v/>
      </c>
      <c r="Q43" s="1454" t="str">
        <f>IF(L43="","",IF(AC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455"/>
      <c r="S43" s="1454"/>
      <c r="T43" s="1454"/>
      <c r="U43" s="1107" t="str" cm="1">
        <f t="array" ref="U43">IF(L43="","",IF(M43=AD43,1,Slookup(MID(AD43,1,3)*1,UomConversion!$D$8:$J$500,5,UomConversion!$E$8:$E$500,MID(M43,1,3)*1,UomConversion!$J$8:$J$500,1)))</f>
        <v/>
      </c>
      <c r="V43" s="732" t="str">
        <f t="shared" si="8"/>
        <v/>
      </c>
      <c r="W43" s="1104" t="str">
        <f t="shared" si="9"/>
        <v/>
      </c>
      <c r="X43" s="1104" t="str">
        <f t="shared" si="10"/>
        <v/>
      </c>
      <c r="Y43" s="732" t="str">
        <f>IF(I43="","",IF(ISNA(MATCH(I43,IF(MID(N43,1,3)*1=1,'[1]1_inventory_totals'!$C$8:$C$10000,IF(MID(N43,1,3)*1=2,'[1]2_inventory_totals'!$C$8:$C$10000,"")),0)),0,IF(AK43&gt;0,1,0)))</f>
        <v/>
      </c>
      <c r="Z43" s="732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A43" s="732" t="str">
        <f>IF(L43="","",IF(ISNA(MATCH(I43,'[1]1_group_totals'!$C$8:$C$10000)),0,IF(AL43&gt;0,1,0)))</f>
        <v/>
      </c>
      <c r="AB43" s="511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511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D43" s="511" t="str">
        <f t="shared" si="11"/>
        <v/>
      </c>
      <c r="AE43" s="511" t="str">
        <f>IF(ISNA(MATCH(MID(AD43,1,3)*1,UomConversion!$D$8:$D$500,0)),"",IF(AI43&lt;&gt;"",AI43,""))</f>
        <v/>
      </c>
      <c r="AF43" s="511" t="str">
        <f>IF(AND(AG43&gt;0,COUNTIFS(UomConversion!$D$8:$D$500,MID(AD43,1,3)*1,UomConversion!$J$8:$J$500,1)&gt;1),TEXT(AG43,"000")&amp;"."&amp;VLOOKUP(AG43,uom_list,4,FALSE),"")</f>
        <v/>
      </c>
      <c r="AG43" s="511" t="str">
        <f t="shared" si="12"/>
        <v/>
      </c>
      <c r="AH43" s="511" t="str">
        <f t="shared" si="13"/>
        <v/>
      </c>
      <c r="AI43" s="126" t="str">
        <f t="shared" si="14"/>
        <v/>
      </c>
      <c r="AJ43" s="126" t="str" cm="1">
        <f t="array" ref="AJ43">IF(L43="","",Slookup(MID(AD43,1,3)*1,UomConversion!$D$8:$J$500,2,UomConversion!$I$8:$I$500,1,UomConversion!$J$8:$J$500,1))</f>
        <v/>
      </c>
      <c r="AK43" s="126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L43" s="126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M43" s="128"/>
      <c r="AN43" s="128"/>
    </row>
    <row r="44" spans="1:40" ht="27" customHeight="1">
      <c r="A44" s="765"/>
      <c r="B44" s="1352"/>
      <c r="C44" s="984"/>
      <c r="D44" s="984"/>
      <c r="E44" s="984"/>
      <c r="F44" s="1368"/>
      <c r="I44" s="426" t="str">
        <f t="shared" si="5"/>
        <v/>
      </c>
      <c r="J44" s="909" t="str">
        <f t="shared" si="15"/>
        <v/>
      </c>
      <c r="K44" s="910" t="str">
        <f t="shared" si="16"/>
        <v/>
      </c>
      <c r="L44" s="1476"/>
      <c r="M44" s="1454"/>
      <c r="N44" s="1454"/>
      <c r="O44" s="1454"/>
      <c r="P44" s="1454" t="str">
        <f t="shared" si="17"/>
        <v/>
      </c>
      <c r="Q44" s="1454" t="str">
        <f>IF(L44="","",IF(AC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455"/>
      <c r="S44" s="1454"/>
      <c r="T44" s="1454"/>
      <c r="U44" s="1107" t="str" cm="1">
        <f t="array" ref="U44">IF(L44="","",IF(M44=AD44,1,Slookup(MID(AD44,1,3)*1,UomConversion!$D$8:$J$500,5,UomConversion!$E$8:$E$500,MID(M44,1,3)*1,UomConversion!$J$8:$J$500,1)))</f>
        <v/>
      </c>
      <c r="V44" s="732" t="str">
        <f t="shared" si="8"/>
        <v/>
      </c>
      <c r="W44" s="1104" t="str">
        <f t="shared" si="9"/>
        <v/>
      </c>
      <c r="X44" s="1104" t="str">
        <f t="shared" si="10"/>
        <v/>
      </c>
      <c r="Y44" s="732" t="str">
        <f>IF(I44="","",IF(ISNA(MATCH(I44,IF(MID(N44,1,3)*1=1,'[1]1_inventory_totals'!$C$8:$C$10000,IF(MID(N44,1,3)*1=2,'[1]2_inventory_totals'!$C$8:$C$10000,"")),0)),0,IF(AK44&gt;0,1,0)))</f>
        <v/>
      </c>
      <c r="Z44" s="732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A44" s="732" t="str">
        <f>IF(L44="","",IF(ISNA(MATCH(I44,'[1]1_group_totals'!$C$8:$C$10000)),0,IF(AL44&gt;0,1,0)))</f>
        <v/>
      </c>
      <c r="AB44" s="511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511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D44" s="511" t="str">
        <f t="shared" si="11"/>
        <v/>
      </c>
      <c r="AE44" s="511" t="str">
        <f>IF(ISNA(MATCH(MID(AD44,1,3)*1,UomConversion!$D$8:$D$500,0)),"",IF(AI44&lt;&gt;"",AI44,""))</f>
        <v/>
      </c>
      <c r="AF44" s="511" t="str">
        <f>IF(AND(AG44&gt;0,COUNTIFS(UomConversion!$D$8:$D$500,MID(AD44,1,3)*1,UomConversion!$J$8:$J$500,1)&gt;1),TEXT(AG44,"000")&amp;"."&amp;VLOOKUP(AG44,uom_list,4,FALSE),"")</f>
        <v/>
      </c>
      <c r="AG44" s="511" t="str">
        <f t="shared" si="12"/>
        <v/>
      </c>
      <c r="AH44" s="511" t="str">
        <f t="shared" si="13"/>
        <v/>
      </c>
      <c r="AI44" s="126" t="str">
        <f t="shared" si="14"/>
        <v/>
      </c>
      <c r="AJ44" s="126" t="str" cm="1">
        <f t="array" ref="AJ44">IF(L44="","",Slookup(MID(AD44,1,3)*1,UomConversion!$D$8:$J$500,2,UomConversion!$I$8:$I$500,1,UomConversion!$J$8:$J$500,1))</f>
        <v/>
      </c>
      <c r="AK44" s="126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L44" s="126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M44" s="128"/>
      <c r="AN44" s="128"/>
    </row>
    <row r="45" spans="1:40" ht="27" customHeight="1">
      <c r="A45" s="765"/>
      <c r="B45" s="1352"/>
      <c r="C45" s="984"/>
      <c r="D45" s="984"/>
      <c r="E45" s="984"/>
      <c r="F45" s="1368"/>
      <c r="I45" s="426" t="str">
        <f t="shared" si="5"/>
        <v/>
      </c>
      <c r="J45" s="909" t="str">
        <f t="shared" si="15"/>
        <v/>
      </c>
      <c r="K45" s="910" t="str">
        <f t="shared" si="16"/>
        <v/>
      </c>
      <c r="L45" s="1476"/>
      <c r="M45" s="1454"/>
      <c r="N45" s="1454"/>
      <c r="O45" s="1454"/>
      <c r="P45" s="1454" t="str">
        <f t="shared" si="17"/>
        <v/>
      </c>
      <c r="Q45" s="1454" t="str">
        <f>IF(L45="","",IF(AC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455"/>
      <c r="S45" s="1454"/>
      <c r="T45" s="1454"/>
      <c r="U45" s="1107" t="str" cm="1">
        <f t="array" ref="U45">IF(L45="","",IF(M45=AD45,1,Slookup(MID(AD45,1,3)*1,UomConversion!$D$8:$J$500,5,UomConversion!$E$8:$E$500,MID(M45,1,3)*1,UomConversion!$J$8:$J$500,1)))</f>
        <v/>
      </c>
      <c r="V45" s="732" t="str">
        <f t="shared" si="8"/>
        <v/>
      </c>
      <c r="W45" s="1104" t="str">
        <f t="shared" si="9"/>
        <v/>
      </c>
      <c r="X45" s="1104" t="str">
        <f t="shared" si="10"/>
        <v/>
      </c>
      <c r="Y45" s="732" t="str">
        <f>IF(I45="","",IF(ISNA(MATCH(I45,IF(MID(N45,1,3)*1=1,'[1]1_inventory_totals'!$C$8:$C$10000,IF(MID(N45,1,3)*1=2,'[1]2_inventory_totals'!$C$8:$C$10000,"")),0)),0,IF(AK45&gt;0,1,0)))</f>
        <v/>
      </c>
      <c r="Z45" s="732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A45" s="732" t="str">
        <f>IF(L45="","",IF(ISNA(MATCH(I45,'[1]1_group_totals'!$C$8:$C$10000)),0,IF(AL45&gt;0,1,0)))</f>
        <v/>
      </c>
      <c r="AB45" s="511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511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D45" s="511" t="str">
        <f t="shared" si="11"/>
        <v/>
      </c>
      <c r="AE45" s="511" t="str">
        <f>IF(ISNA(MATCH(MID(AD45,1,3)*1,UomConversion!$D$8:$D$500,0)),"",IF(AI45&lt;&gt;"",AI45,""))</f>
        <v/>
      </c>
      <c r="AF45" s="511" t="str">
        <f>IF(AND(AG45&gt;0,COUNTIFS(UomConversion!$D$8:$D$500,MID(AD45,1,3)*1,UomConversion!$J$8:$J$500,1)&gt;1),TEXT(AG45,"000")&amp;"."&amp;VLOOKUP(AG45,uom_list,4,FALSE),"")</f>
        <v/>
      </c>
      <c r="AG45" s="511" t="str">
        <f t="shared" si="12"/>
        <v/>
      </c>
      <c r="AH45" s="511" t="str">
        <f t="shared" si="13"/>
        <v/>
      </c>
      <c r="AI45" s="126" t="str">
        <f t="shared" si="14"/>
        <v/>
      </c>
      <c r="AJ45" s="126" t="str" cm="1">
        <f t="array" ref="AJ45">IF(L45="","",Slookup(MID(AD45,1,3)*1,UomConversion!$D$8:$J$500,2,UomConversion!$I$8:$I$500,1,UomConversion!$J$8:$J$500,1))</f>
        <v/>
      </c>
      <c r="AK45" s="126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L45" s="126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M45" s="128"/>
      <c r="AN45" s="128"/>
    </row>
    <row r="46" spans="1:40" ht="27" customHeight="1">
      <c r="A46" s="765"/>
      <c r="B46" s="1352"/>
      <c r="C46" s="984"/>
      <c r="D46" s="984"/>
      <c r="E46" s="984"/>
      <c r="F46" s="1368"/>
      <c r="I46" s="426" t="str">
        <f t="shared" si="5"/>
        <v/>
      </c>
      <c r="J46" s="909" t="str">
        <f t="shared" si="15"/>
        <v/>
      </c>
      <c r="K46" s="910" t="str">
        <f t="shared" si="16"/>
        <v/>
      </c>
      <c r="L46" s="1476"/>
      <c r="M46" s="1454"/>
      <c r="N46" s="1454"/>
      <c r="O46" s="1454"/>
      <c r="P46" s="1454" t="str">
        <f t="shared" si="17"/>
        <v/>
      </c>
      <c r="Q46" s="1454" t="str">
        <f>IF(L46="","",IF(AC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455"/>
      <c r="S46" s="1454"/>
      <c r="T46" s="1454"/>
      <c r="U46" s="1107" t="str" cm="1">
        <f t="array" ref="U46">IF(L46="","",IF(M46=AD46,1,Slookup(MID(AD46,1,3)*1,UomConversion!$D$8:$J$500,5,UomConversion!$E$8:$E$500,MID(M46,1,3)*1,UomConversion!$J$8:$J$500,1)))</f>
        <v/>
      </c>
      <c r="V46" s="732" t="str">
        <f t="shared" si="8"/>
        <v/>
      </c>
      <c r="W46" s="1104" t="str">
        <f t="shared" si="9"/>
        <v/>
      </c>
      <c r="X46" s="1104" t="str">
        <f t="shared" si="10"/>
        <v/>
      </c>
      <c r="Y46" s="732" t="str">
        <f>IF(I46="","",IF(ISNA(MATCH(I46,IF(MID(N46,1,3)*1=1,'[1]1_inventory_totals'!$C$8:$C$10000,IF(MID(N46,1,3)*1=2,'[1]2_inventory_totals'!$C$8:$C$10000,"")),0)),0,IF(AK46&gt;0,1,0)))</f>
        <v/>
      </c>
      <c r="Z46" s="732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A46" s="732" t="str">
        <f>IF(L46="","",IF(ISNA(MATCH(I46,'[1]1_group_totals'!$C$8:$C$10000)),0,IF(AL46&gt;0,1,0)))</f>
        <v/>
      </c>
      <c r="AB46" s="511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511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D46" s="511" t="str">
        <f t="shared" si="11"/>
        <v/>
      </c>
      <c r="AE46" s="511" t="str">
        <f>IF(ISNA(MATCH(MID(AD46,1,3)*1,UomConversion!$D$8:$D$500,0)),"",IF(AI46&lt;&gt;"",AI46,""))</f>
        <v/>
      </c>
      <c r="AF46" s="511" t="str">
        <f>IF(AND(AG46&gt;0,COUNTIFS(UomConversion!$D$8:$D$500,MID(AD46,1,3)*1,UomConversion!$J$8:$J$500,1)&gt;1),TEXT(AG46,"000")&amp;"."&amp;VLOOKUP(AG46,uom_list,4,FALSE),"")</f>
        <v/>
      </c>
      <c r="AG46" s="511" t="str">
        <f t="shared" si="12"/>
        <v/>
      </c>
      <c r="AH46" s="511" t="str">
        <f t="shared" si="13"/>
        <v/>
      </c>
      <c r="AI46" s="126" t="str">
        <f t="shared" si="14"/>
        <v/>
      </c>
      <c r="AJ46" s="126" t="str" cm="1">
        <f t="array" ref="AJ46">IF(L46="","",Slookup(MID(AD46,1,3)*1,UomConversion!$D$8:$J$500,2,UomConversion!$I$8:$I$500,1,UomConversion!$J$8:$J$500,1))</f>
        <v/>
      </c>
      <c r="AK46" s="126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L46" s="126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M46" s="128"/>
      <c r="AN46" s="128"/>
    </row>
    <row r="47" spans="1:40" ht="27" customHeight="1">
      <c r="A47" s="765"/>
      <c r="B47" s="1352"/>
      <c r="C47" s="984"/>
      <c r="D47" s="984"/>
      <c r="E47" s="984"/>
      <c r="F47" s="1368"/>
      <c r="I47" s="426" t="str">
        <f t="shared" si="5"/>
        <v/>
      </c>
      <c r="J47" s="909" t="str">
        <f t="shared" si="15"/>
        <v/>
      </c>
      <c r="K47" s="910" t="str">
        <f t="shared" si="16"/>
        <v/>
      </c>
      <c r="L47" s="1476"/>
      <c r="M47" s="1454"/>
      <c r="N47" s="1454"/>
      <c r="O47" s="1454"/>
      <c r="P47" s="1454" t="str">
        <f t="shared" si="17"/>
        <v/>
      </c>
      <c r="Q47" s="1454" t="str">
        <f>IF(L47="","",IF(AC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455"/>
      <c r="S47" s="1454"/>
      <c r="T47" s="1454"/>
      <c r="U47" s="1107" t="str" cm="1">
        <f t="array" ref="U47">IF(L47="","",IF(M47=AD47,1,Slookup(MID(AD47,1,3)*1,UomConversion!$D$8:$J$500,5,UomConversion!$E$8:$E$500,MID(M47,1,3)*1,UomConversion!$J$8:$J$500,1)))</f>
        <v/>
      </c>
      <c r="V47" s="732" t="str">
        <f t="shared" si="8"/>
        <v/>
      </c>
      <c r="W47" s="1104" t="str">
        <f t="shared" si="9"/>
        <v/>
      </c>
      <c r="X47" s="1104" t="str">
        <f t="shared" si="10"/>
        <v/>
      </c>
      <c r="Y47" s="732" t="str">
        <f>IF(I47="","",IF(ISNA(MATCH(I47,IF(MID(N47,1,3)*1=1,'[1]1_inventory_totals'!$C$8:$C$10000,IF(MID(N47,1,3)*1=2,'[1]2_inventory_totals'!$C$8:$C$10000,"")),0)),0,IF(AK47&gt;0,1,0)))</f>
        <v/>
      </c>
      <c r="Z47" s="732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A47" s="732" t="str">
        <f>IF(L47="","",IF(ISNA(MATCH(I47,'[1]1_group_totals'!$C$8:$C$10000)),0,IF(AL47&gt;0,1,0)))</f>
        <v/>
      </c>
      <c r="AB47" s="511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511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D47" s="511" t="str">
        <f t="shared" si="11"/>
        <v/>
      </c>
      <c r="AE47" s="511" t="str">
        <f>IF(ISNA(MATCH(MID(AD47,1,3)*1,UomConversion!$D$8:$D$500,0)),"",IF(AI47&lt;&gt;"",AI47,""))</f>
        <v/>
      </c>
      <c r="AF47" s="511" t="str">
        <f>IF(AND(AG47&gt;0,COUNTIFS(UomConversion!$D$8:$D$500,MID(AD47,1,3)*1,UomConversion!$J$8:$J$500,1)&gt;1),TEXT(AG47,"000")&amp;"."&amp;VLOOKUP(AG47,uom_list,4,FALSE),"")</f>
        <v/>
      </c>
      <c r="AG47" s="511" t="str">
        <f t="shared" si="12"/>
        <v/>
      </c>
      <c r="AH47" s="511" t="str">
        <f t="shared" si="13"/>
        <v/>
      </c>
      <c r="AI47" s="126" t="str">
        <f t="shared" si="14"/>
        <v/>
      </c>
      <c r="AJ47" s="126" t="str" cm="1">
        <f t="array" ref="AJ47">IF(L47="","",Slookup(MID(AD47,1,3)*1,UomConversion!$D$8:$J$500,2,UomConversion!$I$8:$I$500,1,UomConversion!$J$8:$J$500,1))</f>
        <v/>
      </c>
      <c r="AK47" s="126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L47" s="126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M47" s="128"/>
      <c r="AN47" s="128"/>
    </row>
    <row r="48" spans="1:40" ht="27" customHeight="1">
      <c r="A48" s="765"/>
      <c r="B48" s="1352"/>
      <c r="C48" s="984"/>
      <c r="D48" s="984"/>
      <c r="E48" s="984"/>
      <c r="F48" s="1368"/>
      <c r="I48" s="426" t="str">
        <f t="shared" si="5"/>
        <v/>
      </c>
      <c r="J48" s="909" t="str">
        <f t="shared" si="15"/>
        <v/>
      </c>
      <c r="K48" s="910" t="str">
        <f t="shared" si="16"/>
        <v/>
      </c>
      <c r="L48" s="1476"/>
      <c r="M48" s="1454"/>
      <c r="N48" s="1454"/>
      <c r="O48" s="1454"/>
      <c r="P48" s="1454" t="str">
        <f t="shared" si="17"/>
        <v/>
      </c>
      <c r="Q48" s="1454" t="str">
        <f>IF(L48="","",IF(AC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455"/>
      <c r="S48" s="1454"/>
      <c r="T48" s="1454"/>
      <c r="U48" s="1107" t="str" cm="1">
        <f t="array" ref="U48">IF(L48="","",IF(M48=AD48,1,Slookup(MID(AD48,1,3)*1,UomConversion!$D$8:$J$500,5,UomConversion!$E$8:$E$500,MID(M48,1,3)*1,UomConversion!$J$8:$J$500,1)))</f>
        <v/>
      </c>
      <c r="V48" s="732" t="str">
        <f t="shared" si="8"/>
        <v/>
      </c>
      <c r="W48" s="1104" t="str">
        <f t="shared" si="9"/>
        <v/>
      </c>
      <c r="X48" s="1104" t="str">
        <f t="shared" si="10"/>
        <v/>
      </c>
      <c r="Y48" s="732" t="str">
        <f>IF(I48="","",IF(ISNA(MATCH(I48,IF(MID(N48,1,3)*1=1,'[1]1_inventory_totals'!$C$8:$C$10000,IF(MID(N48,1,3)*1=2,'[1]2_inventory_totals'!$C$8:$C$10000,"")),0)),0,IF(AK48&gt;0,1,0)))</f>
        <v/>
      </c>
      <c r="Z48" s="732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A48" s="732" t="str">
        <f>IF(L48="","",IF(ISNA(MATCH(I48,'[1]1_group_totals'!$C$8:$C$10000)),0,IF(AL48&gt;0,1,0)))</f>
        <v/>
      </c>
      <c r="AB48" s="511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511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D48" s="511" t="str">
        <f t="shared" si="11"/>
        <v/>
      </c>
      <c r="AE48" s="511" t="str">
        <f>IF(ISNA(MATCH(MID(AD48,1,3)*1,UomConversion!$D$8:$D$500,0)),"",IF(AI48&lt;&gt;"",AI48,""))</f>
        <v/>
      </c>
      <c r="AF48" s="511" t="str">
        <f>IF(AND(AG48&gt;0,COUNTIFS(UomConversion!$D$8:$D$500,MID(AD48,1,3)*1,UomConversion!$J$8:$J$500,1)&gt;1),TEXT(AG48,"000")&amp;"."&amp;VLOOKUP(AG48,uom_list,4,FALSE),"")</f>
        <v/>
      </c>
      <c r="AG48" s="511" t="str">
        <f t="shared" si="12"/>
        <v/>
      </c>
      <c r="AH48" s="511" t="str">
        <f t="shared" si="13"/>
        <v/>
      </c>
      <c r="AI48" s="126" t="str">
        <f t="shared" si="14"/>
        <v/>
      </c>
      <c r="AJ48" s="126" t="str" cm="1">
        <f t="array" ref="AJ48">IF(L48="","",Slookup(MID(AD48,1,3)*1,UomConversion!$D$8:$J$500,2,UomConversion!$I$8:$I$500,1,UomConversion!$J$8:$J$500,1))</f>
        <v/>
      </c>
      <c r="AK48" s="126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L48" s="126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M48" s="128"/>
      <c r="AN48" s="128"/>
    </row>
    <row r="49" spans="1:40" ht="27" customHeight="1">
      <c r="A49" s="765"/>
      <c r="B49" s="1352"/>
      <c r="C49" s="984"/>
      <c r="D49" s="984"/>
      <c r="E49" s="984"/>
      <c r="F49" s="1368"/>
      <c r="I49" s="426" t="str">
        <f t="shared" si="5"/>
        <v/>
      </c>
      <c r="J49" s="909" t="str">
        <f t="shared" si="15"/>
        <v/>
      </c>
      <c r="K49" s="910" t="str">
        <f t="shared" si="16"/>
        <v/>
      </c>
      <c r="L49" s="1476"/>
      <c r="M49" s="1454"/>
      <c r="N49" s="1454"/>
      <c r="O49" s="1454"/>
      <c r="P49" s="1454" t="str">
        <f t="shared" si="17"/>
        <v/>
      </c>
      <c r="Q49" s="1454" t="str">
        <f>IF(L49="","",IF(AC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455"/>
      <c r="S49" s="1454"/>
      <c r="T49" s="1454"/>
      <c r="U49" s="1107" t="str" cm="1">
        <f t="array" ref="U49">IF(L49="","",IF(M49=AD49,1,Slookup(MID(AD49,1,3)*1,UomConversion!$D$8:$J$500,5,UomConversion!$E$8:$E$500,MID(M49,1,3)*1,UomConversion!$J$8:$J$500,1)))</f>
        <v/>
      </c>
      <c r="V49" s="732" t="str">
        <f t="shared" si="8"/>
        <v/>
      </c>
      <c r="W49" s="1104" t="str">
        <f t="shared" si="9"/>
        <v/>
      </c>
      <c r="X49" s="1104" t="str">
        <f t="shared" si="10"/>
        <v/>
      </c>
      <c r="Y49" s="732" t="str">
        <f>IF(I49="","",IF(ISNA(MATCH(I49,IF(MID(N49,1,3)*1=1,'[1]1_inventory_totals'!$C$8:$C$10000,IF(MID(N49,1,3)*1=2,'[1]2_inventory_totals'!$C$8:$C$10000,"")),0)),0,IF(AK49&gt;0,1,0)))</f>
        <v/>
      </c>
      <c r="Z49" s="732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A49" s="732" t="str">
        <f>IF(L49="","",IF(ISNA(MATCH(I49,'[1]1_group_totals'!$C$8:$C$10000)),0,IF(AL49&gt;0,1,0)))</f>
        <v/>
      </c>
      <c r="AB49" s="511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511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D49" s="511" t="str">
        <f t="shared" si="11"/>
        <v/>
      </c>
      <c r="AE49" s="511" t="str">
        <f>IF(ISNA(MATCH(MID(AD49,1,3)*1,UomConversion!$D$8:$D$500,0)),"",IF(AI49&lt;&gt;"",AI49,""))</f>
        <v/>
      </c>
      <c r="AF49" s="511" t="str">
        <f>IF(AND(AG49&gt;0,COUNTIFS(UomConversion!$D$8:$D$500,MID(AD49,1,3)*1,UomConversion!$J$8:$J$500,1)&gt;1),TEXT(AG49,"000")&amp;"."&amp;VLOOKUP(AG49,uom_list,4,FALSE),"")</f>
        <v/>
      </c>
      <c r="AG49" s="511" t="str">
        <f t="shared" si="12"/>
        <v/>
      </c>
      <c r="AH49" s="511" t="str">
        <f t="shared" si="13"/>
        <v/>
      </c>
      <c r="AI49" s="126" t="str">
        <f t="shared" si="14"/>
        <v/>
      </c>
      <c r="AJ49" s="126" t="str" cm="1">
        <f t="array" ref="AJ49">IF(L49="","",Slookup(MID(AD49,1,3)*1,UomConversion!$D$8:$J$500,2,UomConversion!$I$8:$I$500,1,UomConversion!$J$8:$J$500,1))</f>
        <v/>
      </c>
      <c r="AK49" s="126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L49" s="126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M49" s="128"/>
      <c r="AN49" s="128"/>
    </row>
    <row r="50" spans="1:40" ht="27" customHeight="1">
      <c r="A50" s="765"/>
      <c r="B50" s="1352"/>
      <c r="C50" s="984"/>
      <c r="D50" s="984"/>
      <c r="E50" s="984"/>
      <c r="F50" s="1368"/>
      <c r="I50" s="426" t="str">
        <f t="shared" si="5"/>
        <v/>
      </c>
      <c r="J50" s="909" t="str">
        <f t="shared" si="15"/>
        <v/>
      </c>
      <c r="K50" s="910" t="str">
        <f t="shared" si="16"/>
        <v/>
      </c>
      <c r="L50" s="1476"/>
      <c r="M50" s="1454"/>
      <c r="N50" s="1454"/>
      <c r="O50" s="1454"/>
      <c r="P50" s="1454" t="str">
        <f t="shared" si="17"/>
        <v/>
      </c>
      <c r="Q50" s="1454" t="str">
        <f>IF(L50="","",IF(AC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455"/>
      <c r="S50" s="1454"/>
      <c r="T50" s="1454"/>
      <c r="U50" s="1107" t="str" cm="1">
        <f t="array" ref="U50">IF(L50="","",IF(M50=AD50,1,Slookup(MID(AD50,1,3)*1,UomConversion!$D$8:$J$500,5,UomConversion!$E$8:$E$500,MID(M50,1,3)*1,UomConversion!$J$8:$J$500,1)))</f>
        <v/>
      </c>
      <c r="V50" s="732" t="str">
        <f t="shared" si="8"/>
        <v/>
      </c>
      <c r="W50" s="1104" t="str">
        <f t="shared" si="9"/>
        <v/>
      </c>
      <c r="X50" s="1104" t="str">
        <f t="shared" si="10"/>
        <v/>
      </c>
      <c r="Y50" s="732" t="str">
        <f>IF(I50="","",IF(ISNA(MATCH(I50,IF(MID(N50,1,3)*1=1,'[1]1_inventory_totals'!$C$8:$C$10000,IF(MID(N50,1,3)*1=2,'[1]2_inventory_totals'!$C$8:$C$10000,"")),0)),0,IF(AK50&gt;0,1,0)))</f>
        <v/>
      </c>
      <c r="Z50" s="732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A50" s="732" t="str">
        <f>IF(L50="","",IF(ISNA(MATCH(I50,'[1]1_group_totals'!$C$8:$C$10000)),0,IF(AL50&gt;0,1,0)))</f>
        <v/>
      </c>
      <c r="AB50" s="511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511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D50" s="511" t="str">
        <f t="shared" si="11"/>
        <v/>
      </c>
      <c r="AE50" s="511" t="str">
        <f>IF(ISNA(MATCH(MID(AD50,1,3)*1,UomConversion!$D$8:$D$500,0)),"",IF(AI50&lt;&gt;"",AI50,""))</f>
        <v/>
      </c>
      <c r="AF50" s="511" t="str">
        <f>IF(AND(AG50&gt;0,COUNTIFS(UomConversion!$D$8:$D$500,MID(AD50,1,3)*1,UomConversion!$J$8:$J$500,1)&gt;1),TEXT(AG50,"000")&amp;"."&amp;VLOOKUP(AG50,uom_list,4,FALSE),"")</f>
        <v/>
      </c>
      <c r="AG50" s="511" t="str">
        <f t="shared" si="12"/>
        <v/>
      </c>
      <c r="AH50" s="511" t="str">
        <f t="shared" si="13"/>
        <v/>
      </c>
      <c r="AI50" s="126" t="str">
        <f t="shared" si="14"/>
        <v/>
      </c>
      <c r="AJ50" s="126" t="str" cm="1">
        <f t="array" ref="AJ50">IF(L50="","",Slookup(MID(AD50,1,3)*1,UomConversion!$D$8:$J$500,2,UomConversion!$I$8:$I$500,1,UomConversion!$J$8:$J$500,1))</f>
        <v/>
      </c>
      <c r="AK50" s="126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L50" s="126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M50" s="128"/>
      <c r="AN50" s="128"/>
    </row>
    <row r="51" spans="1:40" ht="27" customHeight="1">
      <c r="A51" s="765"/>
      <c r="B51" s="1352"/>
      <c r="C51" s="984"/>
      <c r="D51" s="984"/>
      <c r="E51" s="984"/>
      <c r="F51" s="1368"/>
      <c r="I51" s="426" t="str">
        <f t="shared" si="5"/>
        <v/>
      </c>
      <c r="J51" s="909" t="str">
        <f t="shared" si="15"/>
        <v/>
      </c>
      <c r="K51" s="910" t="str">
        <f t="shared" si="16"/>
        <v/>
      </c>
      <c r="L51" s="1476"/>
      <c r="M51" s="1454"/>
      <c r="N51" s="1454"/>
      <c r="O51" s="1454"/>
      <c r="P51" s="1454" t="str">
        <f t="shared" si="17"/>
        <v/>
      </c>
      <c r="Q51" s="1454" t="str">
        <f>IF(L51="","",IF(AC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455"/>
      <c r="S51" s="1454"/>
      <c r="T51" s="1454"/>
      <c r="U51" s="1107" t="str" cm="1">
        <f t="array" ref="U51">IF(L51="","",IF(M51=AD51,1,Slookup(MID(AD51,1,3)*1,UomConversion!$D$8:$J$500,5,UomConversion!$E$8:$E$500,MID(M51,1,3)*1,UomConversion!$J$8:$J$500,1)))</f>
        <v/>
      </c>
      <c r="V51" s="732" t="str">
        <f t="shared" si="8"/>
        <v/>
      </c>
      <c r="W51" s="1104" t="str">
        <f t="shared" si="9"/>
        <v/>
      </c>
      <c r="X51" s="1104" t="str">
        <f t="shared" si="10"/>
        <v/>
      </c>
      <c r="Y51" s="732" t="str">
        <f>IF(I51="","",IF(ISNA(MATCH(I51,IF(MID(N51,1,3)*1=1,'[1]1_inventory_totals'!$C$8:$C$10000,IF(MID(N51,1,3)*1=2,'[1]2_inventory_totals'!$C$8:$C$10000,"")),0)),0,IF(AK51&gt;0,1,0)))</f>
        <v/>
      </c>
      <c r="Z51" s="732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A51" s="732" t="str">
        <f>IF(L51="","",IF(ISNA(MATCH(I51,'[1]1_group_totals'!$C$8:$C$10000)),0,IF(AL51&gt;0,1,0)))</f>
        <v/>
      </c>
      <c r="AB51" s="511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511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D51" s="511" t="str">
        <f t="shared" si="11"/>
        <v/>
      </c>
      <c r="AE51" s="511" t="str">
        <f>IF(ISNA(MATCH(MID(AD51,1,3)*1,UomConversion!$D$8:$D$500,0)),"",IF(AI51&lt;&gt;"",AI51,""))</f>
        <v/>
      </c>
      <c r="AF51" s="511" t="str">
        <f>IF(AND(AG51&gt;0,COUNTIFS(UomConversion!$D$8:$D$500,MID(AD51,1,3)*1,UomConversion!$J$8:$J$500,1)&gt;1),TEXT(AG51,"000")&amp;"."&amp;VLOOKUP(AG51,uom_list,4,FALSE),"")</f>
        <v/>
      </c>
      <c r="AG51" s="511" t="str">
        <f t="shared" si="12"/>
        <v/>
      </c>
      <c r="AH51" s="511" t="str">
        <f t="shared" si="13"/>
        <v/>
      </c>
      <c r="AI51" s="126" t="str">
        <f t="shared" si="14"/>
        <v/>
      </c>
      <c r="AJ51" s="126" t="str" cm="1">
        <f t="array" ref="AJ51">IF(L51="","",Slookup(MID(AD51,1,3)*1,UomConversion!$D$8:$J$500,2,UomConversion!$I$8:$I$500,1,UomConversion!$J$8:$J$500,1))</f>
        <v/>
      </c>
      <c r="AK51" s="126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L51" s="126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M51" s="128"/>
      <c r="AN51" s="128"/>
    </row>
    <row r="52" spans="1:40" ht="27" customHeight="1">
      <c r="A52" s="765"/>
      <c r="B52" s="1352"/>
      <c r="C52" s="984"/>
      <c r="D52" s="984"/>
      <c r="E52" s="984"/>
      <c r="F52" s="1368"/>
      <c r="I52" s="426" t="str">
        <f t="shared" si="5"/>
        <v/>
      </c>
      <c r="J52" s="909" t="str">
        <f t="shared" si="15"/>
        <v/>
      </c>
      <c r="K52" s="910" t="str">
        <f t="shared" si="16"/>
        <v/>
      </c>
      <c r="L52" s="1476"/>
      <c r="M52" s="1454"/>
      <c r="N52" s="1454"/>
      <c r="O52" s="1454"/>
      <c r="P52" s="1454" t="str">
        <f t="shared" si="17"/>
        <v/>
      </c>
      <c r="Q52" s="1454" t="str">
        <f>IF(L52="","",IF(AC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455"/>
      <c r="S52" s="1454"/>
      <c r="T52" s="1454"/>
      <c r="U52" s="1107" t="str" cm="1">
        <f t="array" ref="U52">IF(L52="","",IF(M52=AD52,1,Slookup(MID(AD52,1,3)*1,UomConversion!$D$8:$J$500,5,UomConversion!$E$8:$E$500,MID(M52,1,3)*1,UomConversion!$J$8:$J$500,1)))</f>
        <v/>
      </c>
      <c r="V52" s="732" t="str">
        <f t="shared" si="8"/>
        <v/>
      </c>
      <c r="W52" s="1104" t="str">
        <f t="shared" si="9"/>
        <v/>
      </c>
      <c r="X52" s="1104" t="str">
        <f t="shared" si="10"/>
        <v/>
      </c>
      <c r="Y52" s="732" t="str">
        <f>IF(I52="","",IF(ISNA(MATCH(I52,IF(MID(N52,1,3)*1=1,'[1]1_inventory_totals'!$C$8:$C$10000,IF(MID(N52,1,3)*1=2,'[1]2_inventory_totals'!$C$8:$C$10000,"")),0)),0,IF(AK52&gt;0,1,0)))</f>
        <v/>
      </c>
      <c r="Z52" s="732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A52" s="732" t="str">
        <f>IF(L52="","",IF(ISNA(MATCH(I52,'[1]1_group_totals'!$C$8:$C$10000)),0,IF(AL52&gt;0,1,0)))</f>
        <v/>
      </c>
      <c r="AB52" s="511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511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D52" s="511" t="str">
        <f t="shared" si="11"/>
        <v/>
      </c>
      <c r="AE52" s="511" t="str">
        <f>IF(ISNA(MATCH(MID(AD52,1,3)*1,UomConversion!$D$8:$D$500,0)),"",IF(AI52&lt;&gt;"",AI52,""))</f>
        <v/>
      </c>
      <c r="AF52" s="511" t="str">
        <f>IF(AND(AG52&gt;0,COUNTIFS(UomConversion!$D$8:$D$500,MID(AD52,1,3)*1,UomConversion!$J$8:$J$500,1)&gt;1),TEXT(AG52,"000")&amp;"."&amp;VLOOKUP(AG52,uom_list,4,FALSE),"")</f>
        <v/>
      </c>
      <c r="AG52" s="511" t="str">
        <f t="shared" si="12"/>
        <v/>
      </c>
      <c r="AH52" s="511" t="str">
        <f t="shared" si="13"/>
        <v/>
      </c>
      <c r="AI52" s="126" t="str">
        <f t="shared" si="14"/>
        <v/>
      </c>
      <c r="AJ52" s="126" t="str" cm="1">
        <f t="array" ref="AJ52">IF(L52="","",Slookup(MID(AD52,1,3)*1,UomConversion!$D$8:$J$500,2,UomConversion!$I$8:$I$500,1,UomConversion!$J$8:$J$500,1))</f>
        <v/>
      </c>
      <c r="AK52" s="126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L52" s="126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M52" s="128"/>
      <c r="AN52" s="128"/>
    </row>
    <row r="53" spans="1:40" ht="27" customHeight="1">
      <c r="A53" s="765"/>
      <c r="B53" s="1358"/>
      <c r="C53" s="984"/>
      <c r="D53" s="984"/>
      <c r="E53" s="984"/>
      <c r="F53" s="1369"/>
      <c r="G53" s="213"/>
      <c r="H53" s="906"/>
      <c r="I53" s="426" t="str">
        <f t="shared" si="5"/>
        <v/>
      </c>
      <c r="J53" s="909" t="str">
        <f t="shared" si="15"/>
        <v/>
      </c>
      <c r="K53" s="910" t="str">
        <f t="shared" si="16"/>
        <v/>
      </c>
      <c r="L53" s="1476"/>
      <c r="M53" s="1454"/>
      <c r="N53" s="1454"/>
      <c r="O53" s="1454"/>
      <c r="P53" s="1454" t="str">
        <f t="shared" si="17"/>
        <v/>
      </c>
      <c r="Q53" s="1454" t="str">
        <f>IF(L53="","",IF(AC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455"/>
      <c r="S53" s="1454"/>
      <c r="T53" s="1454"/>
      <c r="U53" s="1107" t="str" cm="1">
        <f t="array" ref="U53">IF(L53="","",IF(M53=AD53,1,Slookup(MID(AD53,1,3)*1,UomConversion!$D$8:$J$500,5,UomConversion!$E$8:$E$500,MID(M53,1,3)*1,UomConversion!$J$8:$J$500,1)))</f>
        <v/>
      </c>
      <c r="V53" s="732" t="str">
        <f t="shared" si="8"/>
        <v/>
      </c>
      <c r="W53" s="1104" t="str">
        <f t="shared" si="9"/>
        <v/>
      </c>
      <c r="X53" s="1104" t="str">
        <f t="shared" si="10"/>
        <v/>
      </c>
      <c r="Y53" s="732" t="str">
        <f>IF(I53="","",IF(ISNA(MATCH(I53,IF(MID(N53,1,3)*1=1,'[1]1_inventory_totals'!$C$8:$C$10000,IF(MID(N53,1,3)*1=2,'[1]2_inventory_totals'!$C$8:$C$10000,"")),0)),0,IF(AK53&gt;0,1,0)))</f>
        <v/>
      </c>
      <c r="Z53" s="732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A53" s="732" t="str">
        <f>IF(L53="","",IF(ISNA(MATCH(I53,'[1]1_group_totals'!$C$8:$C$10000)),0,IF(AL53&gt;0,1,0)))</f>
        <v/>
      </c>
      <c r="AB53" s="511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511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D53" s="511" t="str">
        <f t="shared" si="11"/>
        <v/>
      </c>
      <c r="AE53" s="511" t="str">
        <f>IF(ISNA(MATCH(MID(AD53,1,3)*1,UomConversion!$D$8:$D$500,0)),"",IF(AI53&lt;&gt;"",AI53,""))</f>
        <v/>
      </c>
      <c r="AF53" s="511" t="str">
        <f>IF(AND(AG53&gt;0,COUNTIFS(UomConversion!$D$8:$D$500,MID(AD53,1,3)*1,UomConversion!$J$8:$J$500,1)&gt;1),TEXT(AG53,"000")&amp;"."&amp;VLOOKUP(AG53,uom_list,4,FALSE),"")</f>
        <v/>
      </c>
      <c r="AG53" s="511" t="str">
        <f t="shared" si="12"/>
        <v/>
      </c>
      <c r="AH53" s="511" t="str">
        <f t="shared" si="13"/>
        <v/>
      </c>
      <c r="AI53" s="126" t="str">
        <f t="shared" si="14"/>
        <v/>
      </c>
      <c r="AJ53" s="126" t="str" cm="1">
        <f t="array" ref="AJ53">IF(L53="","",Slookup(MID(AD53,1,3)*1,UomConversion!$D$8:$J$500,2,UomConversion!$I$8:$I$500,1,UomConversion!$J$8:$J$500,1))</f>
        <v/>
      </c>
      <c r="AK53" s="126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L53" s="126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M53" s="128"/>
      <c r="AN53" s="128"/>
    </row>
    <row r="54" spans="1:40" ht="27" customHeight="1">
      <c r="A54" s="765"/>
      <c r="B54" s="1358"/>
      <c r="C54" s="984"/>
      <c r="D54" s="984"/>
      <c r="E54" s="984"/>
      <c r="F54" s="1369"/>
      <c r="G54" s="213"/>
      <c r="H54" s="906"/>
      <c r="I54" s="426" t="str">
        <f t="shared" si="5"/>
        <v/>
      </c>
      <c r="J54" s="909" t="str">
        <f t="shared" si="15"/>
        <v/>
      </c>
      <c r="K54" s="910" t="str">
        <f t="shared" si="16"/>
        <v/>
      </c>
      <c r="L54" s="1476"/>
      <c r="M54" s="1454"/>
      <c r="N54" s="1454"/>
      <c r="O54" s="1454"/>
      <c r="P54" s="1454" t="str">
        <f t="shared" si="17"/>
        <v/>
      </c>
      <c r="Q54" s="1454" t="str">
        <f>IF(L54="","",IF(AC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455"/>
      <c r="S54" s="1454"/>
      <c r="T54" s="1454"/>
      <c r="U54" s="1107" t="str" cm="1">
        <f t="array" ref="U54">IF(L54="","",IF(M54=AD54,1,Slookup(MID(AD54,1,3)*1,UomConversion!$D$8:$J$500,5,UomConversion!$E$8:$E$500,MID(M54,1,3)*1,UomConversion!$J$8:$J$500,1)))</f>
        <v/>
      </c>
      <c r="V54" s="732" t="str">
        <f t="shared" si="8"/>
        <v/>
      </c>
      <c r="W54" s="1104" t="str">
        <f t="shared" si="9"/>
        <v/>
      </c>
      <c r="X54" s="1104" t="str">
        <f t="shared" si="10"/>
        <v/>
      </c>
      <c r="Y54" s="732" t="str">
        <f>IF(I54="","",IF(ISNA(MATCH(I54,IF(MID(N54,1,3)*1=1,'[1]1_inventory_totals'!$C$8:$C$10000,IF(MID(N54,1,3)*1=2,'[1]2_inventory_totals'!$C$8:$C$10000,"")),0)),0,IF(AK54&gt;0,1,0)))</f>
        <v/>
      </c>
      <c r="Z54" s="732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A54" s="732" t="str">
        <f>IF(L54="","",IF(ISNA(MATCH(I54,'[1]1_group_totals'!$C$8:$C$10000)),0,IF(AL54&gt;0,1,0)))</f>
        <v/>
      </c>
      <c r="AB54" s="511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511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D54" s="511" t="str">
        <f t="shared" si="11"/>
        <v/>
      </c>
      <c r="AE54" s="511" t="str">
        <f>IF(ISNA(MATCH(MID(AD54,1,3)*1,UomConversion!$D$8:$D$500,0)),"",IF(AI54&lt;&gt;"",AI54,""))</f>
        <v/>
      </c>
      <c r="AF54" s="511" t="str">
        <f>IF(AND(AG54&gt;0,COUNTIFS(UomConversion!$D$8:$D$500,MID(AD54,1,3)*1,UomConversion!$J$8:$J$500,1)&gt;1),TEXT(AG54,"000")&amp;"."&amp;VLOOKUP(AG54,uom_list,4,FALSE),"")</f>
        <v/>
      </c>
      <c r="AG54" s="511" t="str">
        <f t="shared" si="12"/>
        <v/>
      </c>
      <c r="AH54" s="511" t="str">
        <f t="shared" si="13"/>
        <v/>
      </c>
      <c r="AI54" s="126" t="str">
        <f t="shared" si="14"/>
        <v/>
      </c>
      <c r="AJ54" s="126" t="str" cm="1">
        <f t="array" ref="AJ54">IF(L54="","",Slookup(MID(AD54,1,3)*1,UomConversion!$D$8:$J$500,2,UomConversion!$I$8:$I$500,1,UomConversion!$J$8:$J$500,1))</f>
        <v/>
      </c>
      <c r="AK54" s="126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L54" s="126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M54" s="128"/>
      <c r="AN54" s="128"/>
    </row>
    <row r="55" spans="1:40" ht="27" customHeight="1">
      <c r="A55" s="765"/>
      <c r="B55" s="1358"/>
      <c r="C55" s="984"/>
      <c r="D55" s="984"/>
      <c r="E55" s="984"/>
      <c r="F55" s="1369"/>
      <c r="G55" s="213"/>
      <c r="H55" s="906"/>
      <c r="I55" s="426" t="str">
        <f t="shared" si="5"/>
        <v/>
      </c>
      <c r="J55" s="909" t="str">
        <f t="shared" si="15"/>
        <v/>
      </c>
      <c r="K55" s="910" t="str">
        <f t="shared" si="16"/>
        <v/>
      </c>
      <c r="L55" s="1476"/>
      <c r="M55" s="1454"/>
      <c r="N55" s="1454"/>
      <c r="O55" s="1454"/>
      <c r="P55" s="1454" t="str">
        <f t="shared" si="17"/>
        <v/>
      </c>
      <c r="Q55" s="1454" t="str">
        <f>IF(L55="","",IF(AC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455"/>
      <c r="S55" s="1454"/>
      <c r="T55" s="1454"/>
      <c r="U55" s="1107" t="str" cm="1">
        <f t="array" ref="U55">IF(L55="","",IF(M55=AD55,1,Slookup(MID(AD55,1,3)*1,UomConversion!$D$8:$J$500,5,UomConversion!$E$8:$E$500,MID(M55,1,3)*1,UomConversion!$J$8:$J$500,1)))</f>
        <v/>
      </c>
      <c r="V55" s="732" t="str">
        <f t="shared" si="8"/>
        <v/>
      </c>
      <c r="W55" s="1104" t="str">
        <f t="shared" si="9"/>
        <v/>
      </c>
      <c r="X55" s="1104" t="str">
        <f t="shared" si="10"/>
        <v/>
      </c>
      <c r="Y55" s="732" t="str">
        <f>IF(I55="","",IF(ISNA(MATCH(I55,IF(MID(N55,1,3)*1=1,'[1]1_inventory_totals'!$C$8:$C$10000,IF(MID(N55,1,3)*1=2,'[1]2_inventory_totals'!$C$8:$C$10000,"")),0)),0,IF(AK55&gt;0,1,0)))</f>
        <v/>
      </c>
      <c r="Z55" s="732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A55" s="732" t="str">
        <f>IF(L55="","",IF(ISNA(MATCH(I55,'[1]1_group_totals'!$C$8:$C$10000)),0,IF(AL55&gt;0,1,0)))</f>
        <v/>
      </c>
      <c r="AB55" s="511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511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D55" s="511" t="str">
        <f t="shared" si="11"/>
        <v/>
      </c>
      <c r="AE55" s="511" t="str">
        <f>IF(ISNA(MATCH(MID(AD55,1,3)*1,UomConversion!$D$8:$D$500,0)),"",IF(AI55&lt;&gt;"",AI55,""))</f>
        <v/>
      </c>
      <c r="AF55" s="511" t="str">
        <f>IF(AND(AG55&gt;0,COUNTIFS(UomConversion!$D$8:$D$500,MID(AD55,1,3)*1,UomConversion!$J$8:$J$500,1)&gt;1),TEXT(AG55,"000")&amp;"."&amp;VLOOKUP(AG55,uom_list,4,FALSE),"")</f>
        <v/>
      </c>
      <c r="AG55" s="511" t="str">
        <f t="shared" si="12"/>
        <v/>
      </c>
      <c r="AH55" s="511" t="str">
        <f t="shared" si="13"/>
        <v/>
      </c>
      <c r="AI55" s="126" t="str">
        <f t="shared" si="14"/>
        <v/>
      </c>
      <c r="AJ55" s="126" t="str" cm="1">
        <f t="array" ref="AJ55">IF(L55="","",Slookup(MID(AD55,1,3)*1,UomConversion!$D$8:$J$500,2,UomConversion!$I$8:$I$500,1,UomConversion!$J$8:$J$500,1))</f>
        <v/>
      </c>
      <c r="AK55" s="126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L55" s="126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M55" s="128"/>
      <c r="AN55" s="128"/>
    </row>
    <row r="56" spans="1:40" ht="27" customHeight="1">
      <c r="A56" s="765"/>
      <c r="B56" s="1358"/>
      <c r="C56" s="984"/>
      <c r="D56" s="984"/>
      <c r="E56" s="984"/>
      <c r="F56" s="1369"/>
      <c r="G56" s="213"/>
      <c r="H56" s="906"/>
      <c r="I56" s="426" t="str">
        <f t="shared" si="5"/>
        <v/>
      </c>
      <c r="J56" s="909" t="str">
        <f t="shared" si="15"/>
        <v/>
      </c>
      <c r="K56" s="910" t="str">
        <f t="shared" si="16"/>
        <v/>
      </c>
      <c r="L56" s="1476"/>
      <c r="M56" s="1454"/>
      <c r="N56" s="1454"/>
      <c r="O56" s="1454"/>
      <c r="P56" s="1454" t="str">
        <f t="shared" si="17"/>
        <v/>
      </c>
      <c r="Q56" s="1454" t="str">
        <f>IF(L56="","",IF(AC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455"/>
      <c r="S56" s="1454"/>
      <c r="T56" s="1454"/>
      <c r="U56" s="1107" t="str" cm="1">
        <f t="array" ref="U56">IF(L56="","",IF(M56=AD56,1,Slookup(MID(AD56,1,3)*1,UomConversion!$D$8:$J$500,5,UomConversion!$E$8:$E$500,MID(M56,1,3)*1,UomConversion!$J$8:$J$500,1)))</f>
        <v/>
      </c>
      <c r="V56" s="732" t="str">
        <f t="shared" si="8"/>
        <v/>
      </c>
      <c r="W56" s="1104" t="str">
        <f t="shared" si="9"/>
        <v/>
      </c>
      <c r="X56" s="1104" t="str">
        <f t="shared" si="10"/>
        <v/>
      </c>
      <c r="Y56" s="732" t="str">
        <f>IF(I56="","",IF(ISNA(MATCH(I56,IF(MID(N56,1,3)*1=1,'[1]1_inventory_totals'!$C$8:$C$10000,IF(MID(N56,1,3)*1=2,'[1]2_inventory_totals'!$C$8:$C$10000,"")),0)),0,IF(AK56&gt;0,1,0)))</f>
        <v/>
      </c>
      <c r="Z56" s="732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A56" s="732" t="str">
        <f>IF(L56="","",IF(ISNA(MATCH(I56,'[1]1_group_totals'!$C$8:$C$10000)),0,IF(AL56&gt;0,1,0)))</f>
        <v/>
      </c>
      <c r="AB56" s="511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511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D56" s="511" t="str">
        <f t="shared" si="11"/>
        <v/>
      </c>
      <c r="AE56" s="511" t="str">
        <f>IF(ISNA(MATCH(MID(AD56,1,3)*1,UomConversion!$D$8:$D$500,0)),"",IF(AI56&lt;&gt;"",AI56,""))</f>
        <v/>
      </c>
      <c r="AF56" s="511" t="str">
        <f>IF(AND(AG56&gt;0,COUNTIFS(UomConversion!$D$8:$D$500,MID(AD56,1,3)*1,UomConversion!$J$8:$J$500,1)&gt;1),TEXT(AG56,"000")&amp;"."&amp;VLOOKUP(AG56,uom_list,4,FALSE),"")</f>
        <v/>
      </c>
      <c r="AG56" s="511" t="str">
        <f t="shared" si="12"/>
        <v/>
      </c>
      <c r="AH56" s="511" t="str">
        <f t="shared" si="13"/>
        <v/>
      </c>
      <c r="AI56" s="126" t="str">
        <f t="shared" si="14"/>
        <v/>
      </c>
      <c r="AJ56" s="126" t="str" cm="1">
        <f t="array" ref="AJ56">IF(L56="","",Slookup(MID(AD56,1,3)*1,UomConversion!$D$8:$J$500,2,UomConversion!$I$8:$I$500,1,UomConversion!$J$8:$J$500,1))</f>
        <v/>
      </c>
      <c r="AK56" s="126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L56" s="126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M56" s="128"/>
      <c r="AN56" s="128"/>
    </row>
    <row r="57" spans="1:40" ht="27" customHeight="1">
      <c r="A57" s="765"/>
      <c r="B57" s="1358"/>
      <c r="C57" s="984"/>
      <c r="D57" s="984"/>
      <c r="E57" s="984"/>
      <c r="F57" s="1369"/>
      <c r="G57" s="213"/>
      <c r="H57" s="906"/>
      <c r="I57" s="426" t="str">
        <f t="shared" si="5"/>
        <v/>
      </c>
      <c r="J57" s="909" t="str">
        <f t="shared" si="15"/>
        <v/>
      </c>
      <c r="K57" s="910" t="str">
        <f t="shared" si="16"/>
        <v/>
      </c>
      <c r="L57" s="1476"/>
      <c r="M57" s="1454"/>
      <c r="N57" s="1454"/>
      <c r="O57" s="1454"/>
      <c r="P57" s="1454" t="str">
        <f t="shared" si="17"/>
        <v/>
      </c>
      <c r="Q57" s="1454" t="str">
        <f>IF(L57="","",IF(AC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455"/>
      <c r="S57" s="1454"/>
      <c r="T57" s="1454"/>
      <c r="U57" s="1107" t="str" cm="1">
        <f t="array" ref="U57">IF(L57="","",IF(M57=AD57,1,Slookup(MID(AD57,1,3)*1,UomConversion!$D$8:$J$500,5,UomConversion!$E$8:$E$500,MID(M57,1,3)*1,UomConversion!$J$8:$J$500,1)))</f>
        <v/>
      </c>
      <c r="V57" s="732" t="str">
        <f t="shared" si="8"/>
        <v/>
      </c>
      <c r="W57" s="1104" t="str">
        <f t="shared" si="9"/>
        <v/>
      </c>
      <c r="X57" s="1104" t="str">
        <f t="shared" si="10"/>
        <v/>
      </c>
      <c r="Y57" s="732" t="str">
        <f>IF(I57="","",IF(ISNA(MATCH(I57,IF(MID(N57,1,3)*1=1,'[1]1_inventory_totals'!$C$8:$C$10000,IF(MID(N57,1,3)*1=2,'[1]2_inventory_totals'!$C$8:$C$10000,"")),0)),0,IF(AK57&gt;0,1,0)))</f>
        <v/>
      </c>
      <c r="Z57" s="732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A57" s="732" t="str">
        <f>IF(L57="","",IF(ISNA(MATCH(I57,'[1]1_group_totals'!$C$8:$C$10000)),0,IF(AL57&gt;0,1,0)))</f>
        <v/>
      </c>
      <c r="AB57" s="511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511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D57" s="511" t="str">
        <f t="shared" si="11"/>
        <v/>
      </c>
      <c r="AE57" s="511" t="str">
        <f>IF(ISNA(MATCH(MID(AD57,1,3)*1,UomConversion!$D$8:$D$500,0)),"",IF(AI57&lt;&gt;"",AI57,""))</f>
        <v/>
      </c>
      <c r="AF57" s="511" t="str">
        <f>IF(AND(AG57&gt;0,COUNTIFS(UomConversion!$D$8:$D$500,MID(AD57,1,3)*1,UomConversion!$J$8:$J$500,1)&gt;1),TEXT(AG57,"000")&amp;"."&amp;VLOOKUP(AG57,uom_list,4,FALSE),"")</f>
        <v/>
      </c>
      <c r="AG57" s="511" t="str">
        <f t="shared" si="12"/>
        <v/>
      </c>
      <c r="AH57" s="511" t="str">
        <f t="shared" si="13"/>
        <v/>
      </c>
      <c r="AI57" s="126" t="str">
        <f t="shared" si="14"/>
        <v/>
      </c>
      <c r="AJ57" s="126" t="str" cm="1">
        <f t="array" ref="AJ57">IF(L57="","",Slookup(MID(AD57,1,3)*1,UomConversion!$D$8:$J$500,2,UomConversion!$I$8:$I$500,1,UomConversion!$J$8:$J$500,1))</f>
        <v/>
      </c>
      <c r="AK57" s="126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L57" s="126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M57" s="128"/>
      <c r="AN57" s="128"/>
    </row>
    <row r="58" spans="1:40" ht="27" customHeight="1">
      <c r="A58" s="765"/>
      <c r="B58" s="1358"/>
      <c r="C58" s="984"/>
      <c r="D58" s="984"/>
      <c r="E58" s="984"/>
      <c r="F58" s="1369"/>
      <c r="G58" s="213"/>
      <c r="H58" s="906"/>
      <c r="I58" s="426" t="str">
        <f t="shared" si="5"/>
        <v/>
      </c>
      <c r="J58" s="909" t="str">
        <f t="shared" si="15"/>
        <v/>
      </c>
      <c r="K58" s="910" t="str">
        <f t="shared" si="16"/>
        <v/>
      </c>
      <c r="L58" s="1476"/>
      <c r="M58" s="1454"/>
      <c r="N58" s="1454"/>
      <c r="O58" s="1454"/>
      <c r="P58" s="1454" t="str">
        <f t="shared" si="17"/>
        <v/>
      </c>
      <c r="Q58" s="1454" t="str">
        <f>IF(L58="","",IF(AC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455"/>
      <c r="S58" s="1454"/>
      <c r="T58" s="1454"/>
      <c r="U58" s="1107" t="str" cm="1">
        <f t="array" ref="U58">IF(L58="","",IF(M58=AD58,1,Slookup(MID(AD58,1,3)*1,UomConversion!$D$8:$J$500,5,UomConversion!$E$8:$E$500,MID(M58,1,3)*1,UomConversion!$J$8:$J$500,1)))</f>
        <v/>
      </c>
      <c r="V58" s="732" t="str">
        <f t="shared" si="8"/>
        <v/>
      </c>
      <c r="W58" s="1104" t="str">
        <f t="shared" si="9"/>
        <v/>
      </c>
      <c r="X58" s="1104" t="str">
        <f t="shared" si="10"/>
        <v/>
      </c>
      <c r="Y58" s="732" t="str">
        <f>IF(I58="","",IF(ISNA(MATCH(I58,IF(MID(N58,1,3)*1=1,'[1]1_inventory_totals'!$C$8:$C$10000,IF(MID(N58,1,3)*1=2,'[1]2_inventory_totals'!$C$8:$C$10000,"")),0)),0,IF(AK58&gt;0,1,0)))</f>
        <v/>
      </c>
      <c r="Z58" s="732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A58" s="732" t="str">
        <f>IF(L58="","",IF(ISNA(MATCH(I58,'[1]1_group_totals'!$C$8:$C$10000)),0,IF(AL58&gt;0,1,0)))</f>
        <v/>
      </c>
      <c r="AB58" s="511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511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D58" s="511" t="str">
        <f t="shared" si="11"/>
        <v/>
      </c>
      <c r="AE58" s="511" t="str">
        <f>IF(ISNA(MATCH(MID(AD58,1,3)*1,UomConversion!$D$8:$D$500,0)),"",IF(AI58&lt;&gt;"",AI58,""))</f>
        <v/>
      </c>
      <c r="AF58" s="511" t="str">
        <f>IF(AND(AG58&gt;0,COUNTIFS(UomConversion!$D$8:$D$500,MID(AD58,1,3)*1,UomConversion!$J$8:$J$500,1)&gt;1),TEXT(AG58,"000")&amp;"."&amp;VLOOKUP(AG58,uom_list,4,FALSE),"")</f>
        <v/>
      </c>
      <c r="AG58" s="511" t="str">
        <f t="shared" si="12"/>
        <v/>
      </c>
      <c r="AH58" s="511" t="str">
        <f t="shared" si="13"/>
        <v/>
      </c>
      <c r="AI58" s="126" t="str">
        <f t="shared" si="14"/>
        <v/>
      </c>
      <c r="AJ58" s="126" t="str" cm="1">
        <f t="array" ref="AJ58">IF(L58="","",Slookup(MID(AD58,1,3)*1,UomConversion!$D$8:$J$500,2,UomConversion!$I$8:$I$500,1,UomConversion!$J$8:$J$500,1))</f>
        <v/>
      </c>
      <c r="AK58" s="126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L58" s="126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M58" s="128"/>
      <c r="AN58" s="128"/>
    </row>
    <row r="59" spans="1:40" ht="27" customHeight="1">
      <c r="A59" s="765"/>
      <c r="B59" s="1358"/>
      <c r="C59" s="984"/>
      <c r="D59" s="984"/>
      <c r="E59" s="984"/>
      <c r="F59" s="1369"/>
      <c r="G59" s="213"/>
      <c r="H59" s="906"/>
      <c r="I59" s="426" t="str">
        <f t="shared" si="5"/>
        <v/>
      </c>
      <c r="J59" s="909" t="str">
        <f t="shared" si="15"/>
        <v/>
      </c>
      <c r="K59" s="910" t="str">
        <f t="shared" si="16"/>
        <v/>
      </c>
      <c r="L59" s="1476"/>
      <c r="M59" s="1454"/>
      <c r="N59" s="1454"/>
      <c r="O59" s="1454"/>
      <c r="P59" s="1454" t="str">
        <f t="shared" si="17"/>
        <v/>
      </c>
      <c r="Q59" s="1454" t="str">
        <f>IF(L59="","",IF(AC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455"/>
      <c r="S59" s="1454"/>
      <c r="T59" s="1454"/>
      <c r="U59" s="1107" t="str" cm="1">
        <f t="array" ref="U59">IF(L59="","",IF(M59=AD59,1,Slookup(MID(AD59,1,3)*1,UomConversion!$D$8:$J$500,5,UomConversion!$E$8:$E$500,MID(M59,1,3)*1,UomConversion!$J$8:$J$500,1)))</f>
        <v/>
      </c>
      <c r="V59" s="732" t="str">
        <f t="shared" si="8"/>
        <v/>
      </c>
      <c r="W59" s="1104" t="str">
        <f t="shared" si="9"/>
        <v/>
      </c>
      <c r="X59" s="1104" t="str">
        <f t="shared" si="10"/>
        <v/>
      </c>
      <c r="Y59" s="732" t="str">
        <f>IF(I59="","",IF(ISNA(MATCH(I59,IF(MID(N59,1,3)*1=1,'[1]1_inventory_totals'!$C$8:$C$10000,IF(MID(N59,1,3)*1=2,'[1]2_inventory_totals'!$C$8:$C$10000,"")),0)),0,IF(AK59&gt;0,1,0)))</f>
        <v/>
      </c>
      <c r="Z59" s="732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A59" s="732" t="str">
        <f>IF(L59="","",IF(ISNA(MATCH(I59,'[1]1_group_totals'!$C$8:$C$10000)),0,IF(AL59&gt;0,1,0)))</f>
        <v/>
      </c>
      <c r="AB59" s="511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511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D59" s="511" t="str">
        <f t="shared" si="11"/>
        <v/>
      </c>
      <c r="AE59" s="511" t="str">
        <f>IF(ISNA(MATCH(MID(AD59,1,3)*1,UomConversion!$D$8:$D$500,0)),"",IF(AI59&lt;&gt;"",AI59,""))</f>
        <v/>
      </c>
      <c r="AF59" s="511" t="str">
        <f>IF(AND(AG59&gt;0,COUNTIFS(UomConversion!$D$8:$D$500,MID(AD59,1,3)*1,UomConversion!$J$8:$J$500,1)&gt;1),TEXT(AG59,"000")&amp;"."&amp;VLOOKUP(AG59,uom_list,4,FALSE),"")</f>
        <v/>
      </c>
      <c r="AG59" s="511" t="str">
        <f t="shared" si="12"/>
        <v/>
      </c>
      <c r="AH59" s="511" t="str">
        <f t="shared" si="13"/>
        <v/>
      </c>
      <c r="AI59" s="126" t="str">
        <f t="shared" si="14"/>
        <v/>
      </c>
      <c r="AJ59" s="126" t="str" cm="1">
        <f t="array" ref="AJ59">IF(L59="","",Slookup(MID(AD59,1,3)*1,UomConversion!$D$8:$J$500,2,UomConversion!$I$8:$I$500,1,UomConversion!$J$8:$J$500,1))</f>
        <v/>
      </c>
      <c r="AK59" s="126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L59" s="126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M59" s="128"/>
      <c r="AN59" s="128"/>
    </row>
    <row r="60" spans="1:40" ht="27" customHeight="1">
      <c r="A60" s="765"/>
      <c r="B60" s="1358"/>
      <c r="C60" s="984"/>
      <c r="D60" s="984"/>
      <c r="E60" s="984"/>
      <c r="F60" s="1369"/>
      <c r="G60" s="213"/>
      <c r="H60" s="906"/>
      <c r="I60" s="426" t="str">
        <f t="shared" si="5"/>
        <v/>
      </c>
      <c r="J60" s="909" t="str">
        <f t="shared" si="15"/>
        <v/>
      </c>
      <c r="K60" s="910" t="str">
        <f t="shared" si="16"/>
        <v/>
      </c>
      <c r="L60" s="1476"/>
      <c r="M60" s="1454"/>
      <c r="N60" s="1454"/>
      <c r="O60" s="1454"/>
      <c r="P60" s="1454" t="str">
        <f t="shared" si="17"/>
        <v/>
      </c>
      <c r="Q60" s="1454" t="str">
        <f>IF(L60="","",IF(AC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455"/>
      <c r="S60" s="1454"/>
      <c r="T60" s="1454"/>
      <c r="U60" s="1107" t="str" cm="1">
        <f t="array" ref="U60">IF(L60="","",IF(M60=AD60,1,Slookup(MID(AD60,1,3)*1,UomConversion!$D$8:$J$500,5,UomConversion!$E$8:$E$500,MID(M60,1,3)*1,UomConversion!$J$8:$J$500,1)))</f>
        <v/>
      </c>
      <c r="V60" s="732" t="str">
        <f t="shared" si="8"/>
        <v/>
      </c>
      <c r="W60" s="1104" t="str">
        <f t="shared" si="9"/>
        <v/>
      </c>
      <c r="X60" s="1104" t="str">
        <f t="shared" si="10"/>
        <v/>
      </c>
      <c r="Y60" s="732" t="str">
        <f>IF(I60="","",IF(ISNA(MATCH(I60,IF(MID(N60,1,3)*1=1,'[1]1_inventory_totals'!$C$8:$C$10000,IF(MID(N60,1,3)*1=2,'[1]2_inventory_totals'!$C$8:$C$10000,"")),0)),0,IF(AK60&gt;0,1,0)))</f>
        <v/>
      </c>
      <c r="Z60" s="732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A60" s="732" t="str">
        <f>IF(L60="","",IF(ISNA(MATCH(I60,'[1]1_group_totals'!$C$8:$C$10000)),0,IF(AL60&gt;0,1,0)))</f>
        <v/>
      </c>
      <c r="AB60" s="511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511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D60" s="511" t="str">
        <f t="shared" si="11"/>
        <v/>
      </c>
      <c r="AE60" s="511" t="str">
        <f>IF(ISNA(MATCH(MID(AD60,1,3)*1,UomConversion!$D$8:$D$500,0)),"",IF(AI60&lt;&gt;"",AI60,""))</f>
        <v/>
      </c>
      <c r="AF60" s="511" t="str">
        <f>IF(AND(AG60&gt;0,COUNTIFS(UomConversion!$D$8:$D$500,MID(AD60,1,3)*1,UomConversion!$J$8:$J$500,1)&gt;1),TEXT(AG60,"000")&amp;"."&amp;VLOOKUP(AG60,uom_list,4,FALSE),"")</f>
        <v/>
      </c>
      <c r="AG60" s="511" t="str">
        <f t="shared" si="12"/>
        <v/>
      </c>
      <c r="AH60" s="511" t="str">
        <f t="shared" si="13"/>
        <v/>
      </c>
      <c r="AI60" s="126" t="str">
        <f t="shared" si="14"/>
        <v/>
      </c>
      <c r="AJ60" s="126" t="str" cm="1">
        <f t="array" ref="AJ60">IF(L60="","",Slookup(MID(AD60,1,3)*1,UomConversion!$D$8:$J$500,2,UomConversion!$I$8:$I$500,1,UomConversion!$J$8:$J$500,1))</f>
        <v/>
      </c>
      <c r="AK60" s="126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L60" s="126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M60" s="128"/>
      <c r="AN60" s="128"/>
    </row>
    <row r="61" spans="1:40" ht="27" customHeight="1">
      <c r="A61" s="765"/>
      <c r="B61" s="1358"/>
      <c r="C61" s="984"/>
      <c r="D61" s="984"/>
      <c r="E61" s="984"/>
      <c r="F61" s="1369"/>
      <c r="G61" s="213"/>
      <c r="H61" s="906"/>
      <c r="I61" s="426" t="str">
        <f t="shared" si="5"/>
        <v/>
      </c>
      <c r="J61" s="909" t="str">
        <f t="shared" si="15"/>
        <v/>
      </c>
      <c r="K61" s="910" t="str">
        <f t="shared" si="16"/>
        <v/>
      </c>
      <c r="L61" s="1476"/>
      <c r="M61" s="1454"/>
      <c r="N61" s="1454"/>
      <c r="O61" s="1454"/>
      <c r="P61" s="1454" t="str">
        <f t="shared" si="17"/>
        <v/>
      </c>
      <c r="Q61" s="1454" t="str">
        <f>IF(L61="","",IF(AC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455"/>
      <c r="S61" s="1454"/>
      <c r="T61" s="1454"/>
      <c r="U61" s="1107" t="str" cm="1">
        <f t="array" ref="U61">IF(L61="","",IF(M61=AD61,1,Slookup(MID(AD61,1,3)*1,UomConversion!$D$8:$J$500,5,UomConversion!$E$8:$E$500,MID(M61,1,3)*1,UomConversion!$J$8:$J$500,1)))</f>
        <v/>
      </c>
      <c r="V61" s="732" t="str">
        <f t="shared" si="8"/>
        <v/>
      </c>
      <c r="W61" s="1104" t="str">
        <f t="shared" si="9"/>
        <v/>
      </c>
      <c r="X61" s="1104" t="str">
        <f t="shared" si="10"/>
        <v/>
      </c>
      <c r="Y61" s="732" t="str">
        <f>IF(I61="","",IF(ISNA(MATCH(I61,IF(MID(N61,1,3)*1=1,'[1]1_inventory_totals'!$C$8:$C$10000,IF(MID(N61,1,3)*1=2,'[1]2_inventory_totals'!$C$8:$C$10000,"")),0)),0,IF(AK61&gt;0,1,0)))</f>
        <v/>
      </c>
      <c r="Z61" s="732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A61" s="732" t="str">
        <f>IF(L61="","",IF(ISNA(MATCH(I61,'[1]1_group_totals'!$C$8:$C$10000)),0,IF(AL61&gt;0,1,0)))</f>
        <v/>
      </c>
      <c r="AB61" s="511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511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D61" s="511" t="str">
        <f t="shared" si="11"/>
        <v/>
      </c>
      <c r="AE61" s="511" t="str">
        <f>IF(ISNA(MATCH(MID(AD61,1,3)*1,UomConversion!$D$8:$D$500,0)),"",IF(AI61&lt;&gt;"",AI61,""))</f>
        <v/>
      </c>
      <c r="AF61" s="511" t="str">
        <f>IF(AND(AG61&gt;0,COUNTIFS(UomConversion!$D$8:$D$500,MID(AD61,1,3)*1,UomConversion!$J$8:$J$500,1)&gt;1),TEXT(AG61,"000")&amp;"."&amp;VLOOKUP(AG61,uom_list,4,FALSE),"")</f>
        <v/>
      </c>
      <c r="AG61" s="511" t="str">
        <f t="shared" si="12"/>
        <v/>
      </c>
      <c r="AH61" s="511" t="str">
        <f t="shared" si="13"/>
        <v/>
      </c>
      <c r="AI61" s="126" t="str">
        <f t="shared" si="14"/>
        <v/>
      </c>
      <c r="AJ61" s="126" t="str" cm="1">
        <f t="array" ref="AJ61">IF(L61="","",Slookup(MID(AD61,1,3)*1,UomConversion!$D$8:$J$500,2,UomConversion!$I$8:$I$500,1,UomConversion!$J$8:$J$500,1))</f>
        <v/>
      </c>
      <c r="AK61" s="126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L61" s="126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M61" s="128"/>
      <c r="AN61" s="128"/>
    </row>
    <row r="62" spans="1:40" ht="27" customHeight="1">
      <c r="A62" s="765"/>
      <c r="B62" s="1358"/>
      <c r="C62" s="984"/>
      <c r="D62" s="984"/>
      <c r="E62" s="984"/>
      <c r="F62" s="1369"/>
      <c r="G62" s="213"/>
      <c r="H62" s="906"/>
      <c r="I62" s="426" t="str">
        <f t="shared" si="5"/>
        <v/>
      </c>
      <c r="J62" s="909" t="str">
        <f t="shared" si="15"/>
        <v/>
      </c>
      <c r="K62" s="910" t="str">
        <f t="shared" si="16"/>
        <v/>
      </c>
      <c r="L62" s="1476"/>
      <c r="M62" s="1454"/>
      <c r="N62" s="1454"/>
      <c r="O62" s="1454"/>
      <c r="P62" s="1454" t="str">
        <f t="shared" si="17"/>
        <v/>
      </c>
      <c r="Q62" s="1454" t="str">
        <f>IF(L62="","",IF(AC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455"/>
      <c r="S62" s="1454"/>
      <c r="T62" s="1454"/>
      <c r="U62" s="1107" t="str" cm="1">
        <f t="array" ref="U62">IF(L62="","",IF(M62=AD62,1,Slookup(MID(AD62,1,3)*1,UomConversion!$D$8:$J$500,5,UomConversion!$E$8:$E$500,MID(M62,1,3)*1,UomConversion!$J$8:$J$500,1)))</f>
        <v/>
      </c>
      <c r="V62" s="732" t="str">
        <f t="shared" si="8"/>
        <v/>
      </c>
      <c r="W62" s="1104" t="str">
        <f t="shared" si="9"/>
        <v/>
      </c>
      <c r="X62" s="1104" t="str">
        <f t="shared" si="10"/>
        <v/>
      </c>
      <c r="Y62" s="732" t="str">
        <f>IF(I62="","",IF(ISNA(MATCH(I62,IF(MID(N62,1,3)*1=1,'[1]1_inventory_totals'!$C$8:$C$10000,IF(MID(N62,1,3)*1=2,'[1]2_inventory_totals'!$C$8:$C$10000,"")),0)),0,IF(AK62&gt;0,1,0)))</f>
        <v/>
      </c>
      <c r="Z62" s="732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A62" s="732" t="str">
        <f>IF(L62="","",IF(ISNA(MATCH(I62,'[1]1_group_totals'!$C$8:$C$10000)),0,IF(AL62&gt;0,1,0)))</f>
        <v/>
      </c>
      <c r="AB62" s="511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511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D62" s="511" t="str">
        <f t="shared" si="11"/>
        <v/>
      </c>
      <c r="AE62" s="511" t="str">
        <f>IF(ISNA(MATCH(MID(AD62,1,3)*1,UomConversion!$D$8:$D$500,0)),"",IF(AI62&lt;&gt;"",AI62,""))</f>
        <v/>
      </c>
      <c r="AF62" s="511" t="str">
        <f>IF(AND(AG62&gt;0,COUNTIFS(UomConversion!$D$8:$D$500,MID(AD62,1,3)*1,UomConversion!$J$8:$J$500,1)&gt;1),TEXT(AG62,"000")&amp;"."&amp;VLOOKUP(AG62,uom_list,4,FALSE),"")</f>
        <v/>
      </c>
      <c r="AG62" s="511" t="str">
        <f t="shared" si="12"/>
        <v/>
      </c>
      <c r="AH62" s="511" t="str">
        <f t="shared" si="13"/>
        <v/>
      </c>
      <c r="AI62" s="126" t="str">
        <f t="shared" si="14"/>
        <v/>
      </c>
      <c r="AJ62" s="126" t="str" cm="1">
        <f t="array" ref="AJ62">IF(L62="","",Slookup(MID(AD62,1,3)*1,UomConversion!$D$8:$J$500,2,UomConversion!$I$8:$I$500,1,UomConversion!$J$8:$J$500,1))</f>
        <v/>
      </c>
      <c r="AK62" s="126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L62" s="126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M62" s="128"/>
      <c r="AN62" s="128"/>
    </row>
    <row r="63" spans="1:40" ht="27" customHeight="1">
      <c r="A63" s="765"/>
      <c r="B63" s="1358"/>
      <c r="C63" s="984"/>
      <c r="D63" s="984"/>
      <c r="E63" s="984"/>
      <c r="F63" s="1369"/>
      <c r="G63" s="213"/>
      <c r="H63" s="906"/>
      <c r="I63" s="426" t="str">
        <f t="shared" si="5"/>
        <v/>
      </c>
      <c r="J63" s="909" t="str">
        <f t="shared" si="15"/>
        <v/>
      </c>
      <c r="K63" s="910" t="str">
        <f t="shared" si="16"/>
        <v/>
      </c>
      <c r="L63" s="1476"/>
      <c r="M63" s="1454"/>
      <c r="N63" s="1454"/>
      <c r="O63" s="1454"/>
      <c r="P63" s="1454" t="str">
        <f t="shared" si="17"/>
        <v/>
      </c>
      <c r="Q63" s="1454" t="str">
        <f>IF(L63="","",IF(AC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455"/>
      <c r="S63" s="1454"/>
      <c r="T63" s="1454"/>
      <c r="U63" s="1107" t="str" cm="1">
        <f t="array" ref="U63">IF(L63="","",IF(M63=AD63,1,Slookup(MID(AD63,1,3)*1,UomConversion!$D$8:$J$500,5,UomConversion!$E$8:$E$500,MID(M63,1,3)*1,UomConversion!$J$8:$J$500,1)))</f>
        <v/>
      </c>
      <c r="V63" s="732" t="str">
        <f t="shared" si="8"/>
        <v/>
      </c>
      <c r="W63" s="1104" t="str">
        <f t="shared" si="9"/>
        <v/>
      </c>
      <c r="X63" s="1104" t="str">
        <f t="shared" si="10"/>
        <v/>
      </c>
      <c r="Y63" s="732" t="str">
        <f>IF(I63="","",IF(ISNA(MATCH(I63,IF(MID(N63,1,3)*1=1,'[1]1_inventory_totals'!$C$8:$C$10000,IF(MID(N63,1,3)*1=2,'[1]2_inventory_totals'!$C$8:$C$10000,"")),0)),0,IF(AK63&gt;0,1,0)))</f>
        <v/>
      </c>
      <c r="Z63" s="732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A63" s="732" t="str">
        <f>IF(L63="","",IF(ISNA(MATCH(I63,'[1]1_group_totals'!$C$8:$C$10000)),0,IF(AL63&gt;0,1,0)))</f>
        <v/>
      </c>
      <c r="AB63" s="511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511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D63" s="511" t="str">
        <f t="shared" si="11"/>
        <v/>
      </c>
      <c r="AE63" s="511" t="str">
        <f>IF(ISNA(MATCH(MID(AD63,1,3)*1,UomConversion!$D$8:$D$500,0)),"",IF(AI63&lt;&gt;"",AI63,""))</f>
        <v/>
      </c>
      <c r="AF63" s="511" t="str">
        <f>IF(AND(AG63&gt;0,COUNTIFS(UomConversion!$D$8:$D$500,MID(AD63,1,3)*1,UomConversion!$J$8:$J$500,1)&gt;1),TEXT(AG63,"000")&amp;"."&amp;VLOOKUP(AG63,uom_list,4,FALSE),"")</f>
        <v/>
      </c>
      <c r="AG63" s="511" t="str">
        <f t="shared" si="12"/>
        <v/>
      </c>
      <c r="AH63" s="511" t="str">
        <f t="shared" si="13"/>
        <v/>
      </c>
      <c r="AI63" s="126" t="str">
        <f t="shared" si="14"/>
        <v/>
      </c>
      <c r="AJ63" s="126" t="str" cm="1">
        <f t="array" ref="AJ63">IF(L63="","",Slookup(MID(AD63,1,3)*1,UomConversion!$D$8:$J$500,2,UomConversion!$I$8:$I$500,1,UomConversion!$J$8:$J$500,1))</f>
        <v/>
      </c>
      <c r="AK63" s="126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L63" s="126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M63" s="128"/>
      <c r="AN63" s="128"/>
    </row>
    <row r="64" spans="1:40" ht="27" customHeight="1">
      <c r="A64" s="765"/>
      <c r="B64" s="1358"/>
      <c r="C64" s="984"/>
      <c r="D64" s="984"/>
      <c r="E64" s="984"/>
      <c r="F64" s="1369"/>
      <c r="G64" s="213"/>
      <c r="H64" s="906"/>
      <c r="I64" s="426" t="str">
        <f t="shared" si="5"/>
        <v/>
      </c>
      <c r="J64" s="909" t="str">
        <f t="shared" si="15"/>
        <v/>
      </c>
      <c r="K64" s="910" t="str">
        <f t="shared" si="16"/>
        <v/>
      </c>
      <c r="L64" s="1476"/>
      <c r="M64" s="1454"/>
      <c r="N64" s="1454"/>
      <c r="O64" s="1454"/>
      <c r="P64" s="1454" t="str">
        <f t="shared" si="17"/>
        <v/>
      </c>
      <c r="Q64" s="1454" t="str">
        <f>IF(L64="","",IF(AC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455"/>
      <c r="S64" s="1454"/>
      <c r="T64" s="1454"/>
      <c r="U64" s="1107" t="str" cm="1">
        <f t="array" ref="U64">IF(L64="","",IF(M64=AD64,1,Slookup(MID(AD64,1,3)*1,UomConversion!$D$8:$J$500,5,UomConversion!$E$8:$E$500,MID(M64,1,3)*1,UomConversion!$J$8:$J$500,1)))</f>
        <v/>
      </c>
      <c r="V64" s="732" t="str">
        <f t="shared" si="8"/>
        <v/>
      </c>
      <c r="W64" s="1104" t="str">
        <f t="shared" si="9"/>
        <v/>
      </c>
      <c r="X64" s="1104" t="str">
        <f t="shared" si="10"/>
        <v/>
      </c>
      <c r="Y64" s="732" t="str">
        <f>IF(I64="","",IF(ISNA(MATCH(I64,IF(MID(N64,1,3)*1=1,'[1]1_inventory_totals'!$C$8:$C$10000,IF(MID(N64,1,3)*1=2,'[1]2_inventory_totals'!$C$8:$C$10000,"")),0)),0,IF(AK64&gt;0,1,0)))</f>
        <v/>
      </c>
      <c r="Z64" s="732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A64" s="732" t="str">
        <f>IF(L64="","",IF(ISNA(MATCH(I64,'[1]1_group_totals'!$C$8:$C$10000)),0,IF(AL64&gt;0,1,0)))</f>
        <v/>
      </c>
      <c r="AB64" s="511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511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D64" s="511" t="str">
        <f t="shared" si="11"/>
        <v/>
      </c>
      <c r="AE64" s="511" t="str">
        <f>IF(ISNA(MATCH(MID(AD64,1,3)*1,UomConversion!$D$8:$D$500,0)),"",IF(AI64&lt;&gt;"",AI64,""))</f>
        <v/>
      </c>
      <c r="AF64" s="511" t="str">
        <f>IF(AND(AG64&gt;0,COUNTIFS(UomConversion!$D$8:$D$500,MID(AD64,1,3)*1,UomConversion!$J$8:$J$500,1)&gt;1),TEXT(AG64,"000")&amp;"."&amp;VLOOKUP(AG64,uom_list,4,FALSE),"")</f>
        <v/>
      </c>
      <c r="AG64" s="511" t="str">
        <f t="shared" si="12"/>
        <v/>
      </c>
      <c r="AH64" s="511" t="str">
        <f t="shared" si="13"/>
        <v/>
      </c>
      <c r="AI64" s="126" t="str">
        <f t="shared" si="14"/>
        <v/>
      </c>
      <c r="AJ64" s="126" t="str" cm="1">
        <f t="array" ref="AJ64">IF(L64="","",Slookup(MID(AD64,1,3)*1,UomConversion!$D$8:$J$500,2,UomConversion!$I$8:$I$500,1,UomConversion!$J$8:$J$500,1))</f>
        <v/>
      </c>
      <c r="AK64" s="126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L64" s="126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M64" s="128"/>
      <c r="AN64" s="128"/>
    </row>
    <row r="65" spans="1:40" ht="27" customHeight="1">
      <c r="A65" s="765"/>
      <c r="B65" s="1358"/>
      <c r="C65" s="984"/>
      <c r="D65" s="984"/>
      <c r="E65" s="984"/>
      <c r="F65" s="1369"/>
      <c r="G65" s="213"/>
      <c r="H65" s="906"/>
      <c r="I65" s="426" t="str">
        <f t="shared" si="5"/>
        <v/>
      </c>
      <c r="J65" s="909" t="str">
        <f t="shared" si="15"/>
        <v/>
      </c>
      <c r="K65" s="910" t="str">
        <f t="shared" si="16"/>
        <v/>
      </c>
      <c r="L65" s="1476"/>
      <c r="M65" s="1454"/>
      <c r="N65" s="1454"/>
      <c r="O65" s="1454"/>
      <c r="P65" s="1454" t="str">
        <f t="shared" si="17"/>
        <v/>
      </c>
      <c r="Q65" s="1454" t="str">
        <f>IF(L65="","",IF(AC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455"/>
      <c r="S65" s="1454"/>
      <c r="T65" s="1454"/>
      <c r="U65" s="1107" t="str" cm="1">
        <f t="array" ref="U65">IF(L65="","",IF(M65=AD65,1,Slookup(MID(AD65,1,3)*1,UomConversion!$D$8:$J$500,5,UomConversion!$E$8:$E$500,MID(M65,1,3)*1,UomConversion!$J$8:$J$500,1)))</f>
        <v/>
      </c>
      <c r="V65" s="732" t="str">
        <f t="shared" si="8"/>
        <v/>
      </c>
      <c r="W65" s="1104" t="str">
        <f t="shared" si="9"/>
        <v/>
      </c>
      <c r="X65" s="1104" t="str">
        <f t="shared" si="10"/>
        <v/>
      </c>
      <c r="Y65" s="732" t="str">
        <f>IF(I65="","",IF(ISNA(MATCH(I65,IF(MID(N65,1,3)*1=1,'[1]1_inventory_totals'!$C$8:$C$10000,IF(MID(N65,1,3)*1=2,'[1]2_inventory_totals'!$C$8:$C$10000,"")),0)),0,IF(AK65&gt;0,1,0)))</f>
        <v/>
      </c>
      <c r="Z65" s="732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A65" s="732" t="str">
        <f>IF(L65="","",IF(ISNA(MATCH(I65,'[1]1_group_totals'!$C$8:$C$10000)),0,IF(AL65&gt;0,1,0)))</f>
        <v/>
      </c>
      <c r="AB65" s="511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511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D65" s="511" t="str">
        <f t="shared" si="11"/>
        <v/>
      </c>
      <c r="AE65" s="511" t="str">
        <f>IF(ISNA(MATCH(MID(AD65,1,3)*1,UomConversion!$D$8:$D$500,0)),"",IF(AI65&lt;&gt;"",AI65,""))</f>
        <v/>
      </c>
      <c r="AF65" s="511" t="str">
        <f>IF(AND(AG65&gt;0,COUNTIFS(UomConversion!$D$8:$D$500,MID(AD65,1,3)*1,UomConversion!$J$8:$J$500,1)&gt;1),TEXT(AG65,"000")&amp;"."&amp;VLOOKUP(AG65,uom_list,4,FALSE),"")</f>
        <v/>
      </c>
      <c r="AG65" s="511" t="str">
        <f t="shared" si="12"/>
        <v/>
      </c>
      <c r="AH65" s="511" t="str">
        <f t="shared" si="13"/>
        <v/>
      </c>
      <c r="AI65" s="126" t="str">
        <f t="shared" si="14"/>
        <v/>
      </c>
      <c r="AJ65" s="126" t="str" cm="1">
        <f t="array" ref="AJ65">IF(L65="","",Slookup(MID(AD65,1,3)*1,UomConversion!$D$8:$J$500,2,UomConversion!$I$8:$I$500,1,UomConversion!$J$8:$J$500,1))</f>
        <v/>
      </c>
      <c r="AK65" s="126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L65" s="126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M65" s="128"/>
      <c r="AN65" s="128"/>
    </row>
    <row r="66" spans="1:40" ht="27" customHeight="1">
      <c r="A66" s="765"/>
      <c r="B66" s="1358"/>
      <c r="C66" s="984"/>
      <c r="D66" s="984"/>
      <c r="E66" s="984"/>
      <c r="F66" s="1369"/>
      <c r="G66" s="213"/>
      <c r="H66" s="906"/>
      <c r="I66" s="426" t="str">
        <f t="shared" si="5"/>
        <v/>
      </c>
      <c r="J66" s="909" t="str">
        <f t="shared" si="15"/>
        <v/>
      </c>
      <c r="K66" s="910" t="str">
        <f t="shared" si="16"/>
        <v/>
      </c>
      <c r="L66" s="1476"/>
      <c r="M66" s="1454"/>
      <c r="N66" s="1454"/>
      <c r="O66" s="1454"/>
      <c r="P66" s="1454" t="str">
        <f t="shared" si="17"/>
        <v/>
      </c>
      <c r="Q66" s="1454" t="str">
        <f>IF(L66="","",IF(AC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455"/>
      <c r="S66" s="1454"/>
      <c r="T66" s="1454"/>
      <c r="U66" s="1107" t="str" cm="1">
        <f t="array" ref="U66">IF(L66="","",IF(M66=AD66,1,Slookup(MID(AD66,1,3)*1,UomConversion!$D$8:$J$500,5,UomConversion!$E$8:$E$500,MID(M66,1,3)*1,UomConversion!$J$8:$J$500,1)))</f>
        <v/>
      </c>
      <c r="V66" s="732" t="str">
        <f t="shared" si="8"/>
        <v/>
      </c>
      <c r="W66" s="1104" t="str">
        <f t="shared" si="9"/>
        <v/>
      </c>
      <c r="X66" s="1104" t="str">
        <f t="shared" si="10"/>
        <v/>
      </c>
      <c r="Y66" s="732" t="str">
        <f>IF(I66="","",IF(ISNA(MATCH(I66,IF(MID(N66,1,3)*1=1,'[1]1_inventory_totals'!$C$8:$C$10000,IF(MID(N66,1,3)*1=2,'[1]2_inventory_totals'!$C$8:$C$10000,"")),0)),0,IF(AK66&gt;0,1,0)))</f>
        <v/>
      </c>
      <c r="Z66" s="732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A66" s="732" t="str">
        <f>IF(L66="","",IF(ISNA(MATCH(I66,'[1]1_group_totals'!$C$8:$C$10000)),0,IF(AL66&gt;0,1,0)))</f>
        <v/>
      </c>
      <c r="AB66" s="511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511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D66" s="511" t="str">
        <f t="shared" si="11"/>
        <v/>
      </c>
      <c r="AE66" s="511" t="str">
        <f>IF(ISNA(MATCH(MID(AD66,1,3)*1,UomConversion!$D$8:$D$500,0)),"",IF(AI66&lt;&gt;"",AI66,""))</f>
        <v/>
      </c>
      <c r="AF66" s="511" t="str">
        <f>IF(AND(AG66&gt;0,COUNTIFS(UomConversion!$D$8:$D$500,MID(AD66,1,3)*1,UomConversion!$J$8:$J$500,1)&gt;1),TEXT(AG66,"000")&amp;"."&amp;VLOOKUP(AG66,uom_list,4,FALSE),"")</f>
        <v/>
      </c>
      <c r="AG66" s="511" t="str">
        <f t="shared" si="12"/>
        <v/>
      </c>
      <c r="AH66" s="511" t="str">
        <f t="shared" si="13"/>
        <v/>
      </c>
      <c r="AI66" s="126" t="str">
        <f t="shared" si="14"/>
        <v/>
      </c>
      <c r="AJ66" s="126" t="str" cm="1">
        <f t="array" ref="AJ66">IF(L66="","",Slookup(MID(AD66,1,3)*1,UomConversion!$D$8:$J$500,2,UomConversion!$I$8:$I$500,1,UomConversion!$J$8:$J$500,1))</f>
        <v/>
      </c>
      <c r="AK66" s="126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L66" s="126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M66" s="128"/>
      <c r="AN66" s="128"/>
    </row>
    <row r="67" spans="1:40" ht="27" customHeight="1">
      <c r="A67" s="765"/>
      <c r="B67" s="1358"/>
      <c r="C67" s="984"/>
      <c r="D67" s="984"/>
      <c r="E67" s="984"/>
      <c r="F67" s="1369"/>
      <c r="G67" s="213"/>
      <c r="H67" s="906"/>
      <c r="I67" s="426" t="str">
        <f t="shared" si="5"/>
        <v/>
      </c>
      <c r="J67" s="909" t="str">
        <f t="shared" si="15"/>
        <v/>
      </c>
      <c r="K67" s="910" t="str">
        <f t="shared" si="16"/>
        <v/>
      </c>
      <c r="L67" s="1476"/>
      <c r="M67" s="1454"/>
      <c r="N67" s="1454"/>
      <c r="O67" s="1454"/>
      <c r="P67" s="1454" t="str">
        <f t="shared" si="17"/>
        <v/>
      </c>
      <c r="Q67" s="1454" t="str">
        <f>IF(L67="","",IF(AC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455"/>
      <c r="S67" s="1454"/>
      <c r="T67" s="1454"/>
      <c r="U67" s="1107" t="str" cm="1">
        <f t="array" ref="U67">IF(L67="","",IF(M67=AD67,1,Slookup(MID(AD67,1,3)*1,UomConversion!$D$8:$J$500,5,UomConversion!$E$8:$E$500,MID(M67,1,3)*1,UomConversion!$J$8:$J$500,1)))</f>
        <v/>
      </c>
      <c r="V67" s="732" t="str">
        <f t="shared" si="8"/>
        <v/>
      </c>
      <c r="W67" s="1104" t="str">
        <f t="shared" si="9"/>
        <v/>
      </c>
      <c r="X67" s="1104" t="str">
        <f t="shared" si="10"/>
        <v/>
      </c>
      <c r="Y67" s="732" t="str">
        <f>IF(I67="","",IF(ISNA(MATCH(I67,IF(MID(N67,1,3)*1=1,'[1]1_inventory_totals'!$C$8:$C$10000,IF(MID(N67,1,3)*1=2,'[1]2_inventory_totals'!$C$8:$C$10000,"")),0)),0,IF(AK67&gt;0,1,0)))</f>
        <v/>
      </c>
      <c r="Z67" s="732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A67" s="732" t="str">
        <f>IF(L67="","",IF(ISNA(MATCH(I67,'[1]1_group_totals'!$C$8:$C$10000)),0,IF(AL67&gt;0,1,0)))</f>
        <v/>
      </c>
      <c r="AB67" s="511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511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D67" s="511" t="str">
        <f t="shared" si="11"/>
        <v/>
      </c>
      <c r="AE67" s="511" t="str">
        <f>IF(ISNA(MATCH(MID(AD67,1,3)*1,UomConversion!$D$8:$D$500,0)),"",IF(AI67&lt;&gt;"",AI67,""))</f>
        <v/>
      </c>
      <c r="AF67" s="511" t="str">
        <f>IF(AND(AG67&gt;0,COUNTIFS(UomConversion!$D$8:$D$500,MID(AD67,1,3)*1,UomConversion!$J$8:$J$500,1)&gt;1),TEXT(AG67,"000")&amp;"."&amp;VLOOKUP(AG67,uom_list,4,FALSE),"")</f>
        <v/>
      </c>
      <c r="AG67" s="511" t="str">
        <f t="shared" si="12"/>
        <v/>
      </c>
      <c r="AH67" s="511" t="str">
        <f t="shared" si="13"/>
        <v/>
      </c>
      <c r="AI67" s="126" t="str">
        <f t="shared" si="14"/>
        <v/>
      </c>
      <c r="AJ67" s="126" t="str" cm="1">
        <f t="array" ref="AJ67">IF(L67="","",Slookup(MID(AD67,1,3)*1,UomConversion!$D$8:$J$500,2,UomConversion!$I$8:$I$500,1,UomConversion!$J$8:$J$500,1))</f>
        <v/>
      </c>
      <c r="AK67" s="126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L67" s="126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M67" s="128"/>
      <c r="AN67" s="128"/>
    </row>
    <row r="68" spans="1:40" ht="27" customHeight="1">
      <c r="A68" s="765"/>
      <c r="B68" s="1358"/>
      <c r="C68" s="984"/>
      <c r="D68" s="984"/>
      <c r="E68" s="984"/>
      <c r="F68" s="1369"/>
      <c r="G68" s="213"/>
      <c r="H68" s="906"/>
      <c r="I68" s="426" t="str">
        <f t="shared" si="5"/>
        <v/>
      </c>
      <c r="J68" s="909" t="str">
        <f t="shared" si="15"/>
        <v/>
      </c>
      <c r="K68" s="910" t="str">
        <f t="shared" si="16"/>
        <v/>
      </c>
      <c r="L68" s="1476"/>
      <c r="M68" s="1454"/>
      <c r="N68" s="1454"/>
      <c r="O68" s="1454"/>
      <c r="P68" s="1454" t="str">
        <f t="shared" si="17"/>
        <v/>
      </c>
      <c r="Q68" s="1454" t="str">
        <f>IF(L68="","",IF(AC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455"/>
      <c r="S68" s="1454"/>
      <c r="T68" s="1454"/>
      <c r="U68" s="1107" t="str" cm="1">
        <f t="array" ref="U68">IF(L68="","",IF(M68=AD68,1,Slookup(MID(AD68,1,3)*1,UomConversion!$D$8:$J$500,5,UomConversion!$E$8:$E$500,MID(M68,1,3)*1,UomConversion!$J$8:$J$500,1)))</f>
        <v/>
      </c>
      <c r="V68" s="732" t="str">
        <f t="shared" si="8"/>
        <v/>
      </c>
      <c r="W68" s="1104" t="str">
        <f t="shared" si="9"/>
        <v/>
      </c>
      <c r="X68" s="1104" t="str">
        <f t="shared" si="10"/>
        <v/>
      </c>
      <c r="Y68" s="732" t="str">
        <f>IF(I68="","",IF(ISNA(MATCH(I68,IF(MID(N68,1,3)*1=1,'[1]1_inventory_totals'!$C$8:$C$10000,IF(MID(N68,1,3)*1=2,'[1]2_inventory_totals'!$C$8:$C$10000,"")),0)),0,IF(AK68&gt;0,1,0)))</f>
        <v/>
      </c>
      <c r="Z68" s="732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A68" s="732" t="str">
        <f>IF(L68="","",IF(ISNA(MATCH(I68,'[1]1_group_totals'!$C$8:$C$10000)),0,IF(AL68&gt;0,1,0)))</f>
        <v/>
      </c>
      <c r="AB68" s="511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511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D68" s="511" t="str">
        <f t="shared" si="11"/>
        <v/>
      </c>
      <c r="AE68" s="511" t="str">
        <f>IF(ISNA(MATCH(MID(AD68,1,3)*1,UomConversion!$D$8:$D$500,0)),"",IF(AI68&lt;&gt;"",AI68,""))</f>
        <v/>
      </c>
      <c r="AF68" s="511" t="str">
        <f>IF(AND(AG68&gt;0,COUNTIFS(UomConversion!$D$8:$D$500,MID(AD68,1,3)*1,UomConversion!$J$8:$J$500,1)&gt;1),TEXT(AG68,"000")&amp;"."&amp;VLOOKUP(AG68,uom_list,4,FALSE),"")</f>
        <v/>
      </c>
      <c r="AG68" s="511" t="str">
        <f t="shared" si="12"/>
        <v/>
      </c>
      <c r="AH68" s="511" t="str">
        <f t="shared" si="13"/>
        <v/>
      </c>
      <c r="AI68" s="126" t="str">
        <f t="shared" si="14"/>
        <v/>
      </c>
      <c r="AJ68" s="126" t="str" cm="1">
        <f t="array" ref="AJ68">IF(L68="","",Slookup(MID(AD68,1,3)*1,UomConversion!$D$8:$J$500,2,UomConversion!$I$8:$I$500,1,UomConversion!$J$8:$J$500,1))</f>
        <v/>
      </c>
      <c r="AK68" s="126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L68" s="126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M68" s="128"/>
      <c r="AN68" s="128"/>
    </row>
    <row r="69" spans="1:40" ht="27" customHeight="1">
      <c r="A69" s="765"/>
      <c r="B69" s="1358"/>
      <c r="C69" s="984"/>
      <c r="D69" s="984"/>
      <c r="E69" s="984"/>
      <c r="F69" s="1369"/>
      <c r="G69" s="213"/>
      <c r="H69" s="906"/>
      <c r="I69" s="426" t="str">
        <f t="shared" si="5"/>
        <v/>
      </c>
      <c r="J69" s="909" t="str">
        <f t="shared" si="15"/>
        <v/>
      </c>
      <c r="K69" s="910" t="str">
        <f t="shared" si="16"/>
        <v/>
      </c>
      <c r="L69" s="1476"/>
      <c r="M69" s="1454"/>
      <c r="N69" s="1454"/>
      <c r="O69" s="1454"/>
      <c r="P69" s="1454" t="str">
        <f t="shared" si="17"/>
        <v/>
      </c>
      <c r="Q69" s="1454" t="str">
        <f>IF(L69="","",IF(AC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455"/>
      <c r="S69" s="1454"/>
      <c r="T69" s="1454"/>
      <c r="U69" s="1107" t="str" cm="1">
        <f t="array" ref="U69">IF(L69="","",IF(M69=AD69,1,Slookup(MID(AD69,1,3)*1,UomConversion!$D$8:$J$500,5,UomConversion!$E$8:$E$500,MID(M69,1,3)*1,UomConversion!$J$8:$J$500,1)))</f>
        <v/>
      </c>
      <c r="V69" s="732" t="str">
        <f t="shared" si="8"/>
        <v/>
      </c>
      <c r="W69" s="1104" t="str">
        <f t="shared" si="9"/>
        <v/>
      </c>
      <c r="X69" s="1104" t="str">
        <f t="shared" si="10"/>
        <v/>
      </c>
      <c r="Y69" s="732" t="str">
        <f>IF(I69="","",IF(ISNA(MATCH(I69,IF(MID(N69,1,3)*1=1,'[1]1_inventory_totals'!$C$8:$C$10000,IF(MID(N69,1,3)*1=2,'[1]2_inventory_totals'!$C$8:$C$10000,"")),0)),0,IF(AK69&gt;0,1,0)))</f>
        <v/>
      </c>
      <c r="Z69" s="732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A69" s="732" t="str">
        <f>IF(L69="","",IF(ISNA(MATCH(I69,'[1]1_group_totals'!$C$8:$C$10000)),0,IF(AL69&gt;0,1,0)))</f>
        <v/>
      </c>
      <c r="AB69" s="511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511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D69" s="511" t="str">
        <f t="shared" si="11"/>
        <v/>
      </c>
      <c r="AE69" s="511" t="str">
        <f>IF(ISNA(MATCH(MID(AD69,1,3)*1,UomConversion!$D$8:$D$500,0)),"",IF(AI69&lt;&gt;"",AI69,""))</f>
        <v/>
      </c>
      <c r="AF69" s="511" t="str">
        <f>IF(AND(AG69&gt;0,COUNTIFS(UomConversion!$D$8:$D$500,MID(AD69,1,3)*1,UomConversion!$J$8:$J$500,1)&gt;1),TEXT(AG69,"000")&amp;"."&amp;VLOOKUP(AG69,uom_list,4,FALSE),"")</f>
        <v/>
      </c>
      <c r="AG69" s="511" t="str">
        <f t="shared" si="12"/>
        <v/>
      </c>
      <c r="AH69" s="511" t="str">
        <f t="shared" si="13"/>
        <v/>
      </c>
      <c r="AI69" s="126" t="str">
        <f t="shared" si="14"/>
        <v/>
      </c>
      <c r="AJ69" s="126" t="str" cm="1">
        <f t="array" ref="AJ69">IF(L69="","",Slookup(MID(AD69,1,3)*1,UomConversion!$D$8:$J$500,2,UomConversion!$I$8:$I$500,1,UomConversion!$J$8:$J$500,1))</f>
        <v/>
      </c>
      <c r="AK69" s="126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L69" s="126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M69" s="128"/>
      <c r="AN69" s="128"/>
    </row>
    <row r="70" spans="1:40" ht="27" customHeight="1">
      <c r="A70" s="765"/>
      <c r="B70" s="1358"/>
      <c r="C70" s="984"/>
      <c r="D70" s="984"/>
      <c r="E70" s="984"/>
      <c r="F70" s="1369"/>
      <c r="G70" s="213"/>
      <c r="H70" s="906"/>
      <c r="I70" s="426" t="str">
        <f t="shared" si="5"/>
        <v/>
      </c>
      <c r="J70" s="909" t="str">
        <f t="shared" si="15"/>
        <v/>
      </c>
      <c r="K70" s="910" t="str">
        <f t="shared" si="16"/>
        <v/>
      </c>
      <c r="L70" s="1476"/>
      <c r="M70" s="1454"/>
      <c r="N70" s="1454"/>
      <c r="O70" s="1454"/>
      <c r="P70" s="1454" t="str">
        <f t="shared" si="17"/>
        <v/>
      </c>
      <c r="Q70" s="1454" t="str">
        <f>IF(L70="","",IF(AC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455"/>
      <c r="S70" s="1454"/>
      <c r="T70" s="1454"/>
      <c r="U70" s="1107" t="str" cm="1">
        <f t="array" ref="U70">IF(L70="","",IF(M70=AD70,1,Slookup(MID(AD70,1,3)*1,UomConversion!$D$8:$J$500,5,UomConversion!$E$8:$E$500,MID(M70,1,3)*1,UomConversion!$J$8:$J$500,1)))</f>
        <v/>
      </c>
      <c r="V70" s="732" t="str">
        <f t="shared" si="8"/>
        <v/>
      </c>
      <c r="W70" s="1104" t="str">
        <f t="shared" si="9"/>
        <v/>
      </c>
      <c r="X70" s="1104" t="str">
        <f t="shared" si="10"/>
        <v/>
      </c>
      <c r="Y70" s="732" t="str">
        <f>IF(I70="","",IF(ISNA(MATCH(I70,IF(MID(N70,1,3)*1=1,'[1]1_inventory_totals'!$C$8:$C$10000,IF(MID(N70,1,3)*1=2,'[1]2_inventory_totals'!$C$8:$C$10000,"")),0)),0,IF(AK70&gt;0,1,0)))</f>
        <v/>
      </c>
      <c r="Z70" s="732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A70" s="732" t="str">
        <f>IF(L70="","",IF(ISNA(MATCH(I70,'[1]1_group_totals'!$C$8:$C$10000)),0,IF(AL70&gt;0,1,0)))</f>
        <v/>
      </c>
      <c r="AB70" s="511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511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D70" s="511" t="str">
        <f t="shared" si="11"/>
        <v/>
      </c>
      <c r="AE70" s="511" t="str">
        <f>IF(ISNA(MATCH(MID(AD70,1,3)*1,UomConversion!$D$8:$D$500,0)),"",IF(AI70&lt;&gt;"",AI70,""))</f>
        <v/>
      </c>
      <c r="AF70" s="511" t="str">
        <f>IF(AND(AG70&gt;0,COUNTIFS(UomConversion!$D$8:$D$500,MID(AD70,1,3)*1,UomConversion!$J$8:$J$500,1)&gt;1),TEXT(AG70,"000")&amp;"."&amp;VLOOKUP(AG70,uom_list,4,FALSE),"")</f>
        <v/>
      </c>
      <c r="AG70" s="511" t="str">
        <f t="shared" si="12"/>
        <v/>
      </c>
      <c r="AH70" s="511" t="str">
        <f t="shared" si="13"/>
        <v/>
      </c>
      <c r="AI70" s="126" t="str">
        <f t="shared" si="14"/>
        <v/>
      </c>
      <c r="AJ70" s="126" t="str" cm="1">
        <f t="array" ref="AJ70">IF(L70="","",Slookup(MID(AD70,1,3)*1,UomConversion!$D$8:$J$500,2,UomConversion!$I$8:$I$500,1,UomConversion!$J$8:$J$500,1))</f>
        <v/>
      </c>
      <c r="AK70" s="126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L70" s="126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M70" s="128"/>
      <c r="AN70" s="128"/>
    </row>
    <row r="71" spans="1:40" ht="27" customHeight="1">
      <c r="A71" s="765"/>
      <c r="B71" s="1358"/>
      <c r="C71" s="984"/>
      <c r="D71" s="984"/>
      <c r="E71" s="984"/>
      <c r="F71" s="1369"/>
      <c r="G71" s="213"/>
      <c r="H71" s="906"/>
      <c r="I71" s="426" t="str">
        <f t="shared" si="5"/>
        <v/>
      </c>
      <c r="J71" s="909" t="str">
        <f t="shared" si="15"/>
        <v/>
      </c>
      <c r="K71" s="910" t="str">
        <f t="shared" si="16"/>
        <v/>
      </c>
      <c r="L71" s="1476"/>
      <c r="M71" s="1454"/>
      <c r="N71" s="1454"/>
      <c r="O71" s="1454"/>
      <c r="P71" s="1454" t="str">
        <f t="shared" si="17"/>
        <v/>
      </c>
      <c r="Q71" s="1454" t="str">
        <f>IF(L71="","",IF(AC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455"/>
      <c r="S71" s="1454"/>
      <c r="T71" s="1454"/>
      <c r="U71" s="1107" t="str" cm="1">
        <f t="array" ref="U71">IF(L71="","",IF(M71=AD71,1,Slookup(MID(AD71,1,3)*1,UomConversion!$D$8:$J$500,5,UomConversion!$E$8:$E$500,MID(M71,1,3)*1,UomConversion!$J$8:$J$500,1)))</f>
        <v/>
      </c>
      <c r="V71" s="732" t="str">
        <f t="shared" si="8"/>
        <v/>
      </c>
      <c r="W71" s="1104" t="str">
        <f t="shared" si="9"/>
        <v/>
      </c>
      <c r="X71" s="1104" t="str">
        <f t="shared" si="10"/>
        <v/>
      </c>
      <c r="Y71" s="732" t="str">
        <f>IF(I71="","",IF(ISNA(MATCH(I71,IF(MID(N71,1,3)*1=1,'[1]1_inventory_totals'!$C$8:$C$10000,IF(MID(N71,1,3)*1=2,'[1]2_inventory_totals'!$C$8:$C$10000,"")),0)),0,IF(AK71&gt;0,1,0)))</f>
        <v/>
      </c>
      <c r="Z71" s="732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A71" s="732" t="str">
        <f>IF(L71="","",IF(ISNA(MATCH(I71,'[1]1_group_totals'!$C$8:$C$10000)),0,IF(AL71&gt;0,1,0)))</f>
        <v/>
      </c>
      <c r="AB71" s="511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511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D71" s="511" t="str">
        <f t="shared" si="11"/>
        <v/>
      </c>
      <c r="AE71" s="511" t="str">
        <f>IF(ISNA(MATCH(MID(AD71,1,3)*1,UomConversion!$D$8:$D$500,0)),"",IF(AI71&lt;&gt;"",AI71,""))</f>
        <v/>
      </c>
      <c r="AF71" s="511" t="str">
        <f>IF(AND(AG71&gt;0,COUNTIFS(UomConversion!$D$8:$D$500,MID(AD71,1,3)*1,UomConversion!$J$8:$J$500,1)&gt;1),TEXT(AG71,"000")&amp;"."&amp;VLOOKUP(AG71,uom_list,4,FALSE),"")</f>
        <v/>
      </c>
      <c r="AG71" s="511" t="str">
        <f t="shared" si="12"/>
        <v/>
      </c>
      <c r="AH71" s="511" t="str">
        <f t="shared" si="13"/>
        <v/>
      </c>
      <c r="AI71" s="126" t="str">
        <f t="shared" si="14"/>
        <v/>
      </c>
      <c r="AJ71" s="126" t="str" cm="1">
        <f t="array" ref="AJ71">IF(L71="","",Slookup(MID(AD71,1,3)*1,UomConversion!$D$8:$J$500,2,UomConversion!$I$8:$I$500,1,UomConversion!$J$8:$J$500,1))</f>
        <v/>
      </c>
      <c r="AK71" s="126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L71" s="126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M71" s="128"/>
      <c r="AN71" s="128"/>
    </row>
    <row r="72" spans="1:40" ht="27" customHeight="1">
      <c r="A72" s="765"/>
      <c r="B72" s="1358"/>
      <c r="C72" s="984"/>
      <c r="D72" s="984"/>
      <c r="E72" s="984"/>
      <c r="F72" s="1369"/>
      <c r="G72" s="213"/>
      <c r="H72" s="906"/>
      <c r="I72" s="426" t="str">
        <f t="shared" si="5"/>
        <v/>
      </c>
      <c r="J72" s="909" t="str">
        <f t="shared" si="15"/>
        <v/>
      </c>
      <c r="K72" s="910" t="str">
        <f t="shared" ref="K72:K87" si="18">IF(L72="","",VLOOKUP(I72,product_list,2,FALSE))</f>
        <v/>
      </c>
      <c r="L72" s="1476"/>
      <c r="M72" s="1454"/>
      <c r="N72" s="1454"/>
      <c r="O72" s="1454"/>
      <c r="P72" s="1454" t="str">
        <f t="shared" ref="P72:P87" si="19">IF(AND(adj_type&lt;&gt;"",L72&lt;&gt;"",M72&lt;&gt;""),IF(adj_type=1,O72*V72/U72,O72*V72/U72-Q72),"")</f>
        <v/>
      </c>
      <c r="Q72" s="1454" t="str">
        <f>IF(L72="","",IF(AC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455"/>
      <c r="S72" s="1454"/>
      <c r="T72" s="1454"/>
      <c r="U72" s="1107" t="str" cm="1">
        <f t="array" ref="U72">IF(L72="","",IF(M72=AD72,1,Slookup(MID(AD72,1,3)*1,UomConversion!$D$8:$J$500,5,UomConversion!$E$8:$E$500,MID(M72,1,3)*1,UomConversion!$J$8:$J$500,1)))</f>
        <v/>
      </c>
      <c r="V72" s="732" t="str">
        <f t="shared" si="8"/>
        <v/>
      </c>
      <c r="W72" s="1104" t="str">
        <f t="shared" si="9"/>
        <v/>
      </c>
      <c r="X72" s="1104" t="str">
        <f t="shared" si="10"/>
        <v/>
      </c>
      <c r="Y72" s="732" t="str">
        <f>IF(I72="","",IF(ISNA(MATCH(I72,IF(MID(N72,1,3)*1=1,'[1]1_inventory_totals'!$C$8:$C$10000,IF(MID(N72,1,3)*1=2,'[1]2_inventory_totals'!$C$8:$C$10000,"")),0)),0,IF(AK72&gt;0,1,0)))</f>
        <v/>
      </c>
      <c r="Z72" s="732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A72" s="732" t="str">
        <f>IF(L72="","",IF(ISNA(MATCH(I72,'[1]1_group_totals'!$C$8:$C$10000)),0,IF(AL72&gt;0,1,0)))</f>
        <v/>
      </c>
      <c r="AB72" s="511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511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D72" s="511" t="str">
        <f t="shared" si="11"/>
        <v/>
      </c>
      <c r="AE72" s="511" t="str">
        <f>IF(ISNA(MATCH(MID(AD72,1,3)*1,UomConversion!$D$8:$D$500,0)),"",IF(AI72&lt;&gt;"",AI72,""))</f>
        <v/>
      </c>
      <c r="AF72" s="511" t="str">
        <f>IF(AND(AG72&gt;0,COUNTIFS(UomConversion!$D$8:$D$500,MID(AD72,1,3)*1,UomConversion!$J$8:$J$500,1)&gt;1),TEXT(AG72,"000")&amp;"."&amp;VLOOKUP(AG72,uom_list,4,FALSE),"")</f>
        <v/>
      </c>
      <c r="AG72" s="511" t="str">
        <f t="shared" si="12"/>
        <v/>
      </c>
      <c r="AH72" s="511" t="str">
        <f t="shared" si="13"/>
        <v/>
      </c>
      <c r="AI72" s="126" t="str">
        <f t="shared" si="14"/>
        <v/>
      </c>
      <c r="AJ72" s="126" t="str" cm="1">
        <f t="array" ref="AJ72">IF(L72="","",Slookup(MID(AD72,1,3)*1,UomConversion!$D$8:$J$500,2,UomConversion!$I$8:$I$500,1,UomConversion!$J$8:$J$500,1))</f>
        <v/>
      </c>
      <c r="AK72" s="126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L72" s="126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M72" s="128"/>
      <c r="AN72" s="128"/>
    </row>
    <row r="73" spans="1:40" ht="27" customHeight="1">
      <c r="A73" s="765"/>
      <c r="B73" s="1358"/>
      <c r="C73" s="984"/>
      <c r="D73" s="984"/>
      <c r="E73" s="984"/>
      <c r="F73" s="1369"/>
      <c r="G73" s="213"/>
      <c r="H73" s="906"/>
      <c r="I73" s="426" t="str">
        <f t="shared" ref="I73:I87" si="20">IF(L73="","",MID(L73,1,5)*1)</f>
        <v/>
      </c>
      <c r="J73" s="909" t="str">
        <f t="shared" si="15"/>
        <v/>
      </c>
      <c r="K73" s="910" t="str">
        <f t="shared" si="18"/>
        <v/>
      </c>
      <c r="L73" s="1476"/>
      <c r="M73" s="1454"/>
      <c r="N73" s="1454"/>
      <c r="O73" s="1454"/>
      <c r="P73" s="1454" t="str">
        <f t="shared" si="19"/>
        <v/>
      </c>
      <c r="Q73" s="1454" t="str">
        <f>IF(L73="","",IF(AC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455"/>
      <c r="S73" s="1454"/>
      <c r="T73" s="1454"/>
      <c r="U73" s="1107" t="str" cm="1">
        <f t="array" ref="U73">IF(L73="","",IF(M73=AD73,1,Slookup(MID(AD73,1,3)*1,UomConversion!$D$8:$J$500,5,UomConversion!$E$8:$E$500,MID(M73,1,3)*1,UomConversion!$J$8:$J$500,1)))</f>
        <v/>
      </c>
      <c r="V73" s="732" t="str">
        <f t="shared" ref="V73:V87" si="21">IF(AND(L73="",ISNA(VLOOKUP(I73,product_list,19,FALSE))),"",VLOOKUP(I73,product_list,19,FALSE))</f>
        <v/>
      </c>
      <c r="W73" s="1104" t="str">
        <f t="shared" ref="W73:W87" si="22">IF(L73="","",IF(M73=AD73,X73,IF(M73=AE73,ROUNDUP(X73/U73,2),IF(M73=AF73,ROUNDUP(X73/V73,2)))))</f>
        <v/>
      </c>
      <c r="X73" s="1104" t="str">
        <f t="shared" ref="X73:X87" si="23">IF(L73="","",VLOOKUP(I73,product_list,12,FALSE))</f>
        <v/>
      </c>
      <c r="Y73" s="732" t="str">
        <f>IF(I73="","",IF(ISNA(MATCH(I73,IF(MID(N73,1,3)*1=1,'[1]1_inventory_totals'!$C$8:$C$10000,IF(MID(N73,1,3)*1=2,'[1]2_inventory_totals'!$C$8:$C$10000,"")),0)),0,IF(AK73&gt;0,1,0)))</f>
        <v/>
      </c>
      <c r="Z73" s="732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A73" s="732" t="str">
        <f>IF(L73="","",IF(ISNA(MATCH(I73,'[1]1_group_totals'!$C$8:$C$10000)),0,IF(AL73&gt;0,1,0)))</f>
        <v/>
      </c>
      <c r="AB73" s="511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511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D73" s="511" t="str">
        <f t="shared" ref="AD73:AD87" si="24">IF(L73="","",VLOOKUP(I73,product_list,11,FALSE))</f>
        <v/>
      </c>
      <c r="AE73" s="511" t="str">
        <f>IF(ISNA(MATCH(MID(AD73,1,3)*1,UomConversion!$D$8:$D$500,0)),"",IF(AI73&lt;&gt;"",AI73,""))</f>
        <v/>
      </c>
      <c r="AF73" s="511" t="str">
        <f>IF(AND(AG73&gt;0,COUNTIFS(UomConversion!$D$8:$D$500,MID(AD73,1,3)*1,UomConversion!$J$8:$J$500,1)&gt;1),TEXT(AG73,"000")&amp;"."&amp;VLOOKUP(AG73,uom_list,4,FALSE),"")</f>
        <v/>
      </c>
      <c r="AG73" s="511" t="str">
        <f t="shared" ref="AG73:AG87" si="25">IF(AND(L73&lt;&gt;"",AJ73&gt;0),AJ73,"")</f>
        <v/>
      </c>
      <c r="AH73" s="511" t="str">
        <f t="shared" ref="AH73:AH87" si="26">IF(L73="","",IF(U73&gt;0,V73/U73,""))</f>
        <v/>
      </c>
      <c r="AI73" s="126" t="str">
        <f t="shared" ref="AI73:AI87" si="27">IF(OR(ISNA(VLOOKUP(MID(AD73,1,3)*1,uom_converion_list,2,FALSE)),L73=""),"",TEXT(VLOOKUP(MID(AD73,1,3)*1,uom_converion_list,2,FALSE),"000")&amp;"."&amp;VLOOKUP(VLOOKUP(MID(AD73,1,3)*1,uom_converion_list,2,FALSE),uom_list,4,FALSE))</f>
        <v/>
      </c>
      <c r="AJ73" s="126" t="str" cm="1">
        <f t="array" ref="AJ73">IF(L73="","",Slookup(MID(AD73,1,3)*1,UomConversion!$D$8:$J$500,2,UomConversion!$I$8:$I$500,1,UomConversion!$J$8:$J$500,1))</f>
        <v/>
      </c>
      <c r="AK73" s="126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L73" s="126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M73" s="128"/>
      <c r="AN73" s="128"/>
    </row>
    <row r="74" spans="1:40" ht="27" customHeight="1">
      <c r="A74" s="765"/>
      <c r="B74" s="1358"/>
      <c r="C74" s="984"/>
      <c r="D74" s="984"/>
      <c r="E74" s="984"/>
      <c r="F74" s="1369"/>
      <c r="G74" s="213"/>
      <c r="H74" s="906"/>
      <c r="I74" s="426" t="str">
        <f t="shared" si="20"/>
        <v/>
      </c>
      <c r="J74" s="909" t="str">
        <f t="shared" si="15"/>
        <v/>
      </c>
      <c r="K74" s="910" t="str">
        <f t="shared" si="18"/>
        <v/>
      </c>
      <c r="L74" s="1476"/>
      <c r="M74" s="1454"/>
      <c r="N74" s="1454"/>
      <c r="O74" s="1454"/>
      <c r="P74" s="1454" t="str">
        <f t="shared" si="19"/>
        <v/>
      </c>
      <c r="Q74" s="1454" t="str">
        <f>IF(L74="","",IF(AC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455"/>
      <c r="S74" s="1454"/>
      <c r="T74" s="1454"/>
      <c r="U74" s="1107" t="str" cm="1">
        <f t="array" ref="U74">IF(L74="","",IF(M74=AD74,1,Slookup(MID(AD74,1,3)*1,UomConversion!$D$8:$J$500,5,UomConversion!$E$8:$E$500,MID(M74,1,3)*1,UomConversion!$J$8:$J$500,1)))</f>
        <v/>
      </c>
      <c r="V74" s="732" t="str">
        <f t="shared" si="21"/>
        <v/>
      </c>
      <c r="W74" s="1104" t="str">
        <f t="shared" si="22"/>
        <v/>
      </c>
      <c r="X74" s="1104" t="str">
        <f t="shared" si="23"/>
        <v/>
      </c>
      <c r="Y74" s="732" t="str">
        <f>IF(I74="","",IF(ISNA(MATCH(I74,IF(MID(N74,1,3)*1=1,'[1]1_inventory_totals'!$C$8:$C$10000,IF(MID(N74,1,3)*1=2,'[1]2_inventory_totals'!$C$8:$C$10000,"")),0)),0,IF(AK74&gt;0,1,0)))</f>
        <v/>
      </c>
      <c r="Z74" s="732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A74" s="732" t="str">
        <f>IF(L74="","",IF(ISNA(MATCH(I74,'[1]1_group_totals'!$C$8:$C$10000)),0,IF(AL74&gt;0,1,0)))</f>
        <v/>
      </c>
      <c r="AB74" s="511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511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D74" s="511" t="str">
        <f t="shared" si="24"/>
        <v/>
      </c>
      <c r="AE74" s="511" t="str">
        <f>IF(ISNA(MATCH(MID(AD74,1,3)*1,UomConversion!$D$8:$D$500,0)),"",IF(AI74&lt;&gt;"",AI74,""))</f>
        <v/>
      </c>
      <c r="AF74" s="511" t="str">
        <f>IF(AND(AG74&gt;0,COUNTIFS(UomConversion!$D$8:$D$500,MID(AD74,1,3)*1,UomConversion!$J$8:$J$500,1)&gt;1),TEXT(AG74,"000")&amp;"."&amp;VLOOKUP(AG74,uom_list,4,FALSE),"")</f>
        <v/>
      </c>
      <c r="AG74" s="511" t="str">
        <f t="shared" si="25"/>
        <v/>
      </c>
      <c r="AH74" s="511" t="str">
        <f t="shared" si="26"/>
        <v/>
      </c>
      <c r="AI74" s="126" t="str">
        <f t="shared" si="27"/>
        <v/>
      </c>
      <c r="AJ74" s="126" t="str" cm="1">
        <f t="array" ref="AJ74">IF(L74="","",Slookup(MID(AD74,1,3)*1,UomConversion!$D$8:$J$500,2,UomConversion!$I$8:$I$500,1,UomConversion!$J$8:$J$500,1))</f>
        <v/>
      </c>
      <c r="AK74" s="126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L74" s="126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M74" s="128"/>
      <c r="AN74" s="128"/>
    </row>
    <row r="75" spans="1:40" ht="27" customHeight="1">
      <c r="A75" s="765"/>
      <c r="B75" s="1358"/>
      <c r="C75" s="984"/>
      <c r="D75" s="984"/>
      <c r="E75" s="984"/>
      <c r="F75" s="1369"/>
      <c r="G75" s="213"/>
      <c r="H75" s="906"/>
      <c r="I75" s="426" t="str">
        <f t="shared" si="20"/>
        <v/>
      </c>
      <c r="J75" s="909" t="str">
        <f t="shared" si="15"/>
        <v/>
      </c>
      <c r="K75" s="910" t="str">
        <f t="shared" si="18"/>
        <v/>
      </c>
      <c r="L75" s="1476"/>
      <c r="M75" s="1454"/>
      <c r="N75" s="1454"/>
      <c r="O75" s="1454"/>
      <c r="P75" s="1454" t="str">
        <f t="shared" si="19"/>
        <v/>
      </c>
      <c r="Q75" s="1454" t="str">
        <f>IF(L75="","",IF(AC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455"/>
      <c r="S75" s="1454"/>
      <c r="T75" s="1454"/>
      <c r="U75" s="1107" t="str" cm="1">
        <f t="array" ref="U75">IF(L75="","",IF(M75=AD75,1,Slookup(MID(AD75,1,3)*1,UomConversion!$D$8:$J$500,5,UomConversion!$E$8:$E$500,MID(M75,1,3)*1,UomConversion!$J$8:$J$500,1)))</f>
        <v/>
      </c>
      <c r="V75" s="732" t="str">
        <f t="shared" si="21"/>
        <v/>
      </c>
      <c r="W75" s="1104" t="str">
        <f t="shared" si="22"/>
        <v/>
      </c>
      <c r="X75" s="1104" t="str">
        <f t="shared" si="23"/>
        <v/>
      </c>
      <c r="Y75" s="732" t="str">
        <f>IF(I75="","",IF(ISNA(MATCH(I75,IF(MID(N75,1,3)*1=1,'[1]1_inventory_totals'!$C$8:$C$10000,IF(MID(N75,1,3)*1=2,'[1]2_inventory_totals'!$C$8:$C$10000,"")),0)),0,IF(AK75&gt;0,1,0)))</f>
        <v/>
      </c>
      <c r="Z75" s="732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A75" s="732" t="str">
        <f>IF(L75="","",IF(ISNA(MATCH(I75,'[1]1_group_totals'!$C$8:$C$10000)),0,IF(AL75&gt;0,1,0)))</f>
        <v/>
      </c>
      <c r="AB75" s="511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511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D75" s="511" t="str">
        <f t="shared" si="24"/>
        <v/>
      </c>
      <c r="AE75" s="511" t="str">
        <f>IF(ISNA(MATCH(MID(AD75,1,3)*1,UomConversion!$D$8:$D$500,0)),"",IF(AI75&lt;&gt;"",AI75,""))</f>
        <v/>
      </c>
      <c r="AF75" s="511" t="str">
        <f>IF(AND(AG75&gt;0,COUNTIFS(UomConversion!$D$8:$D$500,MID(AD75,1,3)*1,UomConversion!$J$8:$J$500,1)&gt;1),TEXT(AG75,"000")&amp;"."&amp;VLOOKUP(AG75,uom_list,4,FALSE),"")</f>
        <v/>
      </c>
      <c r="AG75" s="511" t="str">
        <f t="shared" si="25"/>
        <v/>
      </c>
      <c r="AH75" s="511" t="str">
        <f t="shared" si="26"/>
        <v/>
      </c>
      <c r="AI75" s="126" t="str">
        <f t="shared" si="27"/>
        <v/>
      </c>
      <c r="AJ75" s="126" t="str" cm="1">
        <f t="array" ref="AJ75">IF(L75="","",Slookup(MID(AD75,1,3)*1,UomConversion!$D$8:$J$500,2,UomConversion!$I$8:$I$500,1,UomConversion!$J$8:$J$500,1))</f>
        <v/>
      </c>
      <c r="AK75" s="126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L75" s="126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M75" s="128"/>
      <c r="AN75" s="128"/>
    </row>
    <row r="76" spans="1:40" ht="27" customHeight="1">
      <c r="A76" s="765"/>
      <c r="B76" s="1358"/>
      <c r="C76" s="984"/>
      <c r="D76" s="984"/>
      <c r="E76" s="984"/>
      <c r="F76" s="1369"/>
      <c r="G76" s="213"/>
      <c r="H76" s="906"/>
      <c r="I76" s="426" t="str">
        <f t="shared" si="20"/>
        <v/>
      </c>
      <c r="J76" s="909" t="str">
        <f t="shared" si="15"/>
        <v/>
      </c>
      <c r="K76" s="910" t="str">
        <f t="shared" si="18"/>
        <v/>
      </c>
      <c r="L76" s="1476"/>
      <c r="M76" s="1454"/>
      <c r="N76" s="1454"/>
      <c r="O76" s="1454"/>
      <c r="P76" s="1454" t="str">
        <f t="shared" si="19"/>
        <v/>
      </c>
      <c r="Q76" s="1454" t="str">
        <f>IF(L76="","",IF(AC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455"/>
      <c r="S76" s="1454"/>
      <c r="T76" s="1454"/>
      <c r="U76" s="1107" t="str" cm="1">
        <f t="array" ref="U76">IF(L76="","",IF(M76=AD76,1,Slookup(MID(AD76,1,3)*1,UomConversion!$D$8:$J$500,5,UomConversion!$E$8:$E$500,MID(M76,1,3)*1,UomConversion!$J$8:$J$500,1)))</f>
        <v/>
      </c>
      <c r="V76" s="732" t="str">
        <f t="shared" si="21"/>
        <v/>
      </c>
      <c r="W76" s="1104" t="str">
        <f t="shared" si="22"/>
        <v/>
      </c>
      <c r="X76" s="1104" t="str">
        <f t="shared" si="23"/>
        <v/>
      </c>
      <c r="Y76" s="732" t="str">
        <f>IF(I76="","",IF(ISNA(MATCH(I76,IF(MID(N76,1,3)*1=1,'[1]1_inventory_totals'!$C$8:$C$10000,IF(MID(N76,1,3)*1=2,'[1]2_inventory_totals'!$C$8:$C$10000,"")),0)),0,IF(AK76&gt;0,1,0)))</f>
        <v/>
      </c>
      <c r="Z76" s="732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A76" s="732" t="str">
        <f>IF(L76="","",IF(ISNA(MATCH(I76,'[1]1_group_totals'!$C$8:$C$10000)),0,IF(AL76&gt;0,1,0)))</f>
        <v/>
      </c>
      <c r="AB76" s="511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511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D76" s="511" t="str">
        <f t="shared" si="24"/>
        <v/>
      </c>
      <c r="AE76" s="511" t="str">
        <f>IF(ISNA(MATCH(MID(AD76,1,3)*1,UomConversion!$D$8:$D$500,0)),"",IF(AI76&lt;&gt;"",AI76,""))</f>
        <v/>
      </c>
      <c r="AF76" s="511" t="str">
        <f>IF(AND(AG76&gt;0,COUNTIFS(UomConversion!$D$8:$D$500,MID(AD76,1,3)*1,UomConversion!$J$8:$J$500,1)&gt;1),TEXT(AG76,"000")&amp;"."&amp;VLOOKUP(AG76,uom_list,4,FALSE),"")</f>
        <v/>
      </c>
      <c r="AG76" s="511" t="str">
        <f t="shared" si="25"/>
        <v/>
      </c>
      <c r="AH76" s="511" t="str">
        <f t="shared" si="26"/>
        <v/>
      </c>
      <c r="AI76" s="126" t="str">
        <f t="shared" si="27"/>
        <v/>
      </c>
      <c r="AJ76" s="126" t="str" cm="1">
        <f t="array" ref="AJ76">IF(L76="","",Slookup(MID(AD76,1,3)*1,UomConversion!$D$8:$J$500,2,UomConversion!$I$8:$I$500,1,UomConversion!$J$8:$J$500,1))</f>
        <v/>
      </c>
      <c r="AK76" s="126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L76" s="126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M76" s="128"/>
      <c r="AN76" s="128"/>
    </row>
    <row r="77" spans="1:40" ht="27" customHeight="1">
      <c r="A77" s="765"/>
      <c r="B77" s="1358"/>
      <c r="C77" s="984"/>
      <c r="D77" s="984"/>
      <c r="E77" s="984"/>
      <c r="F77" s="1369"/>
      <c r="G77" s="213"/>
      <c r="H77" s="906"/>
      <c r="I77" s="426" t="str">
        <f t="shared" si="20"/>
        <v/>
      </c>
      <c r="J77" s="909" t="str">
        <f t="shared" si="15"/>
        <v/>
      </c>
      <c r="K77" s="910" t="str">
        <f t="shared" si="18"/>
        <v/>
      </c>
      <c r="L77" s="1476"/>
      <c r="M77" s="1454"/>
      <c r="N77" s="1454"/>
      <c r="O77" s="1454"/>
      <c r="P77" s="1454" t="str">
        <f t="shared" si="19"/>
        <v/>
      </c>
      <c r="Q77" s="1454" t="str">
        <f>IF(L77="","",IF(AC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455"/>
      <c r="S77" s="1454"/>
      <c r="T77" s="1454"/>
      <c r="U77" s="1107" t="str" cm="1">
        <f t="array" ref="U77">IF(L77="","",IF(M77=AD77,1,Slookup(MID(AD77,1,3)*1,UomConversion!$D$8:$J$500,5,UomConversion!$E$8:$E$500,MID(M77,1,3)*1,UomConversion!$J$8:$J$500,1)))</f>
        <v/>
      </c>
      <c r="V77" s="732" t="str">
        <f t="shared" si="21"/>
        <v/>
      </c>
      <c r="W77" s="1104" t="str">
        <f t="shared" si="22"/>
        <v/>
      </c>
      <c r="X77" s="1104" t="str">
        <f t="shared" si="23"/>
        <v/>
      </c>
      <c r="Y77" s="732" t="str">
        <f>IF(I77="","",IF(ISNA(MATCH(I77,IF(MID(N77,1,3)*1=1,'[1]1_inventory_totals'!$C$8:$C$10000,IF(MID(N77,1,3)*1=2,'[1]2_inventory_totals'!$C$8:$C$10000,"")),0)),0,IF(AK77&gt;0,1,0)))</f>
        <v/>
      </c>
      <c r="Z77" s="732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A77" s="732" t="str">
        <f>IF(L77="","",IF(ISNA(MATCH(I77,'[1]1_group_totals'!$C$8:$C$10000)),0,IF(AL77&gt;0,1,0)))</f>
        <v/>
      </c>
      <c r="AB77" s="511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511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D77" s="511" t="str">
        <f t="shared" si="24"/>
        <v/>
      </c>
      <c r="AE77" s="511" t="str">
        <f>IF(ISNA(MATCH(MID(AD77,1,3)*1,UomConversion!$D$8:$D$500,0)),"",IF(AI77&lt;&gt;"",AI77,""))</f>
        <v/>
      </c>
      <c r="AF77" s="511" t="str">
        <f>IF(AND(AG77&gt;0,COUNTIFS(UomConversion!$D$8:$D$500,MID(AD77,1,3)*1,UomConversion!$J$8:$J$500,1)&gt;1),TEXT(AG77,"000")&amp;"."&amp;VLOOKUP(AG77,uom_list,4,FALSE),"")</f>
        <v/>
      </c>
      <c r="AG77" s="511" t="str">
        <f t="shared" si="25"/>
        <v/>
      </c>
      <c r="AH77" s="511" t="str">
        <f t="shared" si="26"/>
        <v/>
      </c>
      <c r="AI77" s="126" t="str">
        <f t="shared" si="27"/>
        <v/>
      </c>
      <c r="AJ77" s="126" t="str" cm="1">
        <f t="array" ref="AJ77">IF(L77="","",Slookup(MID(AD77,1,3)*1,UomConversion!$D$8:$J$500,2,UomConversion!$I$8:$I$500,1,UomConversion!$J$8:$J$500,1))</f>
        <v/>
      </c>
      <c r="AK77" s="126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L77" s="126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M77" s="128"/>
      <c r="AN77" s="128"/>
    </row>
    <row r="78" spans="1:40" ht="27" customHeight="1">
      <c r="A78" s="765"/>
      <c r="B78" s="1358"/>
      <c r="C78" s="984"/>
      <c r="D78" s="984"/>
      <c r="E78" s="984"/>
      <c r="F78" s="1369"/>
      <c r="G78" s="213"/>
      <c r="H78" s="906"/>
      <c r="I78" s="426" t="str">
        <f t="shared" si="20"/>
        <v/>
      </c>
      <c r="J78" s="909" t="str">
        <f t="shared" si="15"/>
        <v/>
      </c>
      <c r="K78" s="910" t="str">
        <f t="shared" si="18"/>
        <v/>
      </c>
      <c r="L78" s="1476"/>
      <c r="M78" s="1454"/>
      <c r="N78" s="1454"/>
      <c r="O78" s="1454"/>
      <c r="P78" s="1454" t="str">
        <f t="shared" si="19"/>
        <v/>
      </c>
      <c r="Q78" s="1454" t="str">
        <f>IF(L78="","",IF(AC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455"/>
      <c r="S78" s="1454"/>
      <c r="T78" s="1454"/>
      <c r="U78" s="1107" t="str" cm="1">
        <f t="array" ref="U78">IF(L78="","",IF(M78=AD78,1,Slookup(MID(AD78,1,3)*1,UomConversion!$D$8:$J$500,5,UomConversion!$E$8:$E$500,MID(M78,1,3)*1,UomConversion!$J$8:$J$500,1)))</f>
        <v/>
      </c>
      <c r="V78" s="732" t="str">
        <f t="shared" si="21"/>
        <v/>
      </c>
      <c r="W78" s="1104" t="str">
        <f t="shared" si="22"/>
        <v/>
      </c>
      <c r="X78" s="1104" t="str">
        <f t="shared" si="23"/>
        <v/>
      </c>
      <c r="Y78" s="732" t="str">
        <f>IF(I78="","",IF(ISNA(MATCH(I78,IF(MID(N78,1,3)*1=1,'[1]1_inventory_totals'!$C$8:$C$10000,IF(MID(N78,1,3)*1=2,'[1]2_inventory_totals'!$C$8:$C$10000,"")),0)),0,IF(AK78&gt;0,1,0)))</f>
        <v/>
      </c>
      <c r="Z78" s="732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A78" s="732" t="str">
        <f>IF(L78="","",IF(ISNA(MATCH(I78,'[1]1_group_totals'!$C$8:$C$10000)),0,IF(AL78&gt;0,1,0)))</f>
        <v/>
      </c>
      <c r="AB78" s="511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511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D78" s="511" t="str">
        <f t="shared" si="24"/>
        <v/>
      </c>
      <c r="AE78" s="511" t="str">
        <f>IF(ISNA(MATCH(MID(AD78,1,3)*1,UomConversion!$D$8:$D$500,0)),"",IF(AI78&lt;&gt;"",AI78,""))</f>
        <v/>
      </c>
      <c r="AF78" s="511" t="str">
        <f>IF(AND(AG78&gt;0,COUNTIFS(UomConversion!$D$8:$D$500,MID(AD78,1,3)*1,UomConversion!$J$8:$J$500,1)&gt;1),TEXT(AG78,"000")&amp;"."&amp;VLOOKUP(AG78,uom_list,4,FALSE),"")</f>
        <v/>
      </c>
      <c r="AG78" s="511" t="str">
        <f t="shared" si="25"/>
        <v/>
      </c>
      <c r="AH78" s="511" t="str">
        <f t="shared" si="26"/>
        <v/>
      </c>
      <c r="AI78" s="126" t="str">
        <f t="shared" si="27"/>
        <v/>
      </c>
      <c r="AJ78" s="126" t="str" cm="1">
        <f t="array" ref="AJ78">IF(L78="","",Slookup(MID(AD78,1,3)*1,UomConversion!$D$8:$J$500,2,UomConversion!$I$8:$I$500,1,UomConversion!$J$8:$J$500,1))</f>
        <v/>
      </c>
      <c r="AK78" s="126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L78" s="126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M78" s="128"/>
      <c r="AN78" s="128"/>
    </row>
    <row r="79" spans="1:40" ht="27" customHeight="1">
      <c r="A79" s="765"/>
      <c r="B79" s="1358"/>
      <c r="C79" s="984"/>
      <c r="D79" s="984"/>
      <c r="E79" s="984"/>
      <c r="F79" s="1369"/>
      <c r="G79" s="213"/>
      <c r="H79" s="906"/>
      <c r="I79" s="426" t="str">
        <f t="shared" si="20"/>
        <v/>
      </c>
      <c r="J79" s="909" t="str">
        <f t="shared" si="15"/>
        <v/>
      </c>
      <c r="K79" s="910" t="str">
        <f t="shared" si="18"/>
        <v/>
      </c>
      <c r="L79" s="1476"/>
      <c r="M79" s="1454"/>
      <c r="N79" s="1454"/>
      <c r="O79" s="1454"/>
      <c r="P79" s="1454" t="str">
        <f t="shared" si="19"/>
        <v/>
      </c>
      <c r="Q79" s="1454" t="str">
        <f>IF(L79="","",IF(AC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455"/>
      <c r="S79" s="1454"/>
      <c r="T79" s="1454"/>
      <c r="U79" s="1107" t="str" cm="1">
        <f t="array" ref="U79">IF(L79="","",IF(M79=AD79,1,Slookup(MID(AD79,1,3)*1,UomConversion!$D$8:$J$500,5,UomConversion!$E$8:$E$500,MID(M79,1,3)*1,UomConversion!$J$8:$J$500,1)))</f>
        <v/>
      </c>
      <c r="V79" s="732" t="str">
        <f t="shared" si="21"/>
        <v/>
      </c>
      <c r="W79" s="1104" t="str">
        <f t="shared" si="22"/>
        <v/>
      </c>
      <c r="X79" s="1104" t="str">
        <f t="shared" si="23"/>
        <v/>
      </c>
      <c r="Y79" s="732" t="str">
        <f>IF(I79="","",IF(ISNA(MATCH(I79,IF(MID(N79,1,3)*1=1,'[1]1_inventory_totals'!$C$8:$C$10000,IF(MID(N79,1,3)*1=2,'[1]2_inventory_totals'!$C$8:$C$10000,"")),0)),0,IF(AK79&gt;0,1,0)))</f>
        <v/>
      </c>
      <c r="Z79" s="732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A79" s="732" t="str">
        <f>IF(L79="","",IF(ISNA(MATCH(I79,'[1]1_group_totals'!$C$8:$C$10000)),0,IF(AL79&gt;0,1,0)))</f>
        <v/>
      </c>
      <c r="AB79" s="511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511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D79" s="511" t="str">
        <f t="shared" si="24"/>
        <v/>
      </c>
      <c r="AE79" s="511" t="str">
        <f>IF(ISNA(MATCH(MID(AD79,1,3)*1,UomConversion!$D$8:$D$500,0)),"",IF(AI79&lt;&gt;"",AI79,""))</f>
        <v/>
      </c>
      <c r="AF79" s="511" t="str">
        <f>IF(AND(AG79&gt;0,COUNTIFS(UomConversion!$D$8:$D$500,MID(AD79,1,3)*1,UomConversion!$J$8:$J$500,1)&gt;1),TEXT(AG79,"000")&amp;"."&amp;VLOOKUP(AG79,uom_list,4,FALSE),"")</f>
        <v/>
      </c>
      <c r="AG79" s="511" t="str">
        <f t="shared" si="25"/>
        <v/>
      </c>
      <c r="AH79" s="511" t="str">
        <f t="shared" si="26"/>
        <v/>
      </c>
      <c r="AI79" s="126" t="str">
        <f t="shared" si="27"/>
        <v/>
      </c>
      <c r="AJ79" s="126" t="str" cm="1">
        <f t="array" ref="AJ79">IF(L79="","",Slookup(MID(AD79,1,3)*1,UomConversion!$D$8:$J$500,2,UomConversion!$I$8:$I$500,1,UomConversion!$J$8:$J$500,1))</f>
        <v/>
      </c>
      <c r="AK79" s="126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L79" s="126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M79" s="128"/>
      <c r="AN79" s="128"/>
    </row>
    <row r="80" spans="1:40" ht="27" customHeight="1">
      <c r="A80" s="765"/>
      <c r="B80" s="1358"/>
      <c r="C80" s="984"/>
      <c r="D80" s="984"/>
      <c r="E80" s="984"/>
      <c r="F80" s="1369"/>
      <c r="G80" s="213"/>
      <c r="H80" s="906"/>
      <c r="I80" s="426" t="str">
        <f t="shared" si="20"/>
        <v/>
      </c>
      <c r="J80" s="909" t="str">
        <f t="shared" si="15"/>
        <v/>
      </c>
      <c r="K80" s="910" t="str">
        <f t="shared" si="18"/>
        <v/>
      </c>
      <c r="L80" s="1476"/>
      <c r="M80" s="1454"/>
      <c r="N80" s="1454"/>
      <c r="O80" s="1454"/>
      <c r="P80" s="1454" t="str">
        <f t="shared" si="19"/>
        <v/>
      </c>
      <c r="Q80" s="1454" t="str">
        <f>IF(L80="","",IF(AC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455"/>
      <c r="S80" s="1454"/>
      <c r="T80" s="1454"/>
      <c r="U80" s="1107" t="str" cm="1">
        <f t="array" ref="U80">IF(L80="","",IF(M80=AD80,1,Slookup(MID(AD80,1,3)*1,UomConversion!$D$8:$J$500,5,UomConversion!$E$8:$E$500,MID(M80,1,3)*1,UomConversion!$J$8:$J$500,1)))</f>
        <v/>
      </c>
      <c r="V80" s="732" t="str">
        <f t="shared" si="21"/>
        <v/>
      </c>
      <c r="W80" s="1104" t="str">
        <f t="shared" si="22"/>
        <v/>
      </c>
      <c r="X80" s="1104" t="str">
        <f t="shared" si="23"/>
        <v/>
      </c>
      <c r="Y80" s="732" t="str">
        <f>IF(I80="","",IF(ISNA(MATCH(I80,IF(MID(N80,1,3)*1=1,'[1]1_inventory_totals'!$C$8:$C$10000,IF(MID(N80,1,3)*1=2,'[1]2_inventory_totals'!$C$8:$C$10000,"")),0)),0,IF(AK80&gt;0,1,0)))</f>
        <v/>
      </c>
      <c r="Z80" s="732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A80" s="732" t="str">
        <f>IF(L80="","",IF(ISNA(MATCH(I80,'[1]1_group_totals'!$C$8:$C$10000)),0,IF(AL80&gt;0,1,0)))</f>
        <v/>
      </c>
      <c r="AB80" s="511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511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D80" s="511" t="str">
        <f t="shared" si="24"/>
        <v/>
      </c>
      <c r="AE80" s="511" t="str">
        <f>IF(ISNA(MATCH(MID(AD80,1,3)*1,UomConversion!$D$8:$D$500,0)),"",IF(AI80&lt;&gt;"",AI80,""))</f>
        <v/>
      </c>
      <c r="AF80" s="511" t="str">
        <f>IF(AND(AG80&gt;0,COUNTIFS(UomConversion!$D$8:$D$500,MID(AD80,1,3)*1,UomConversion!$J$8:$J$500,1)&gt;1),TEXT(AG80,"000")&amp;"."&amp;VLOOKUP(AG80,uom_list,4,FALSE),"")</f>
        <v/>
      </c>
      <c r="AG80" s="511" t="str">
        <f t="shared" si="25"/>
        <v/>
      </c>
      <c r="AH80" s="511" t="str">
        <f t="shared" si="26"/>
        <v/>
      </c>
      <c r="AI80" s="126" t="str">
        <f t="shared" si="27"/>
        <v/>
      </c>
      <c r="AJ80" s="126" t="str" cm="1">
        <f t="array" ref="AJ80">IF(L80="","",Slookup(MID(AD80,1,3)*1,UomConversion!$D$8:$J$500,2,UomConversion!$I$8:$I$500,1,UomConversion!$J$8:$J$500,1))</f>
        <v/>
      </c>
      <c r="AK80" s="126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L80" s="126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M80" s="128"/>
      <c r="AN80" s="128"/>
    </row>
    <row r="81" spans="1:40" ht="27" customHeight="1">
      <c r="A81" s="765"/>
      <c r="B81" s="1358"/>
      <c r="C81" s="984"/>
      <c r="D81" s="984"/>
      <c r="E81" s="984"/>
      <c r="F81" s="1369"/>
      <c r="G81" s="213"/>
      <c r="H81" s="906"/>
      <c r="I81" s="426" t="str">
        <f t="shared" si="20"/>
        <v/>
      </c>
      <c r="J81" s="909" t="str">
        <f t="shared" si="15"/>
        <v/>
      </c>
      <c r="K81" s="910" t="str">
        <f t="shared" si="18"/>
        <v/>
      </c>
      <c r="L81" s="1476"/>
      <c r="M81" s="1454"/>
      <c r="N81" s="1454"/>
      <c r="O81" s="1454"/>
      <c r="P81" s="1454" t="str">
        <f t="shared" si="19"/>
        <v/>
      </c>
      <c r="Q81" s="1454" t="str">
        <f>IF(L81="","",IF(AC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455"/>
      <c r="S81" s="1454"/>
      <c r="T81" s="1454"/>
      <c r="U81" s="1107" t="str" cm="1">
        <f t="array" ref="U81">IF(L81="","",IF(M81=AD81,1,Slookup(MID(AD81,1,3)*1,UomConversion!$D$8:$J$500,5,UomConversion!$E$8:$E$500,MID(M81,1,3)*1,UomConversion!$J$8:$J$500,1)))</f>
        <v/>
      </c>
      <c r="V81" s="732" t="str">
        <f t="shared" si="21"/>
        <v/>
      </c>
      <c r="W81" s="1104" t="str">
        <f t="shared" si="22"/>
        <v/>
      </c>
      <c r="X81" s="1104" t="str">
        <f t="shared" si="23"/>
        <v/>
      </c>
      <c r="Y81" s="732" t="str">
        <f>IF(I81="","",IF(ISNA(MATCH(I81,IF(MID(N81,1,3)*1=1,'[1]1_inventory_totals'!$C$8:$C$10000,IF(MID(N81,1,3)*1=2,'[1]2_inventory_totals'!$C$8:$C$10000,"")),0)),0,IF(AK81&gt;0,1,0)))</f>
        <v/>
      </c>
      <c r="Z81" s="732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A81" s="732" t="str">
        <f>IF(L81="","",IF(ISNA(MATCH(I81,'[1]1_group_totals'!$C$8:$C$10000)),0,IF(AL81&gt;0,1,0)))</f>
        <v/>
      </c>
      <c r="AB81" s="511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511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D81" s="511" t="str">
        <f t="shared" si="24"/>
        <v/>
      </c>
      <c r="AE81" s="511" t="str">
        <f>IF(ISNA(MATCH(MID(AD81,1,3)*1,UomConversion!$D$8:$D$500,0)),"",IF(AI81&lt;&gt;"",AI81,""))</f>
        <v/>
      </c>
      <c r="AF81" s="511" t="str">
        <f>IF(AND(AG81&gt;0,COUNTIFS(UomConversion!$D$8:$D$500,MID(AD81,1,3)*1,UomConversion!$J$8:$J$500,1)&gt;1),TEXT(AG81,"000")&amp;"."&amp;VLOOKUP(AG81,uom_list,4,FALSE),"")</f>
        <v/>
      </c>
      <c r="AG81" s="511" t="str">
        <f t="shared" si="25"/>
        <v/>
      </c>
      <c r="AH81" s="511" t="str">
        <f t="shared" si="26"/>
        <v/>
      </c>
      <c r="AI81" s="126" t="str">
        <f t="shared" si="27"/>
        <v/>
      </c>
      <c r="AJ81" s="126" t="str" cm="1">
        <f t="array" ref="AJ81">IF(L81="","",Slookup(MID(AD81,1,3)*1,UomConversion!$D$8:$J$500,2,UomConversion!$I$8:$I$500,1,UomConversion!$J$8:$J$500,1))</f>
        <v/>
      </c>
      <c r="AK81" s="126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L81" s="126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M81" s="128"/>
      <c r="AN81" s="128"/>
    </row>
    <row r="82" spans="1:40" ht="27" customHeight="1">
      <c r="A82" s="765"/>
      <c r="B82" s="1358"/>
      <c r="C82" s="984"/>
      <c r="D82" s="984"/>
      <c r="E82" s="984"/>
      <c r="F82" s="1369"/>
      <c r="G82" s="213"/>
      <c r="H82" s="906"/>
      <c r="I82" s="426" t="str">
        <f t="shared" si="20"/>
        <v/>
      </c>
      <c r="J82" s="909" t="str">
        <f t="shared" si="15"/>
        <v/>
      </c>
      <c r="K82" s="910" t="str">
        <f t="shared" si="18"/>
        <v/>
      </c>
      <c r="L82" s="1476"/>
      <c r="M82" s="1454"/>
      <c r="N82" s="1454"/>
      <c r="O82" s="1454"/>
      <c r="P82" s="1454" t="str">
        <f t="shared" si="19"/>
        <v/>
      </c>
      <c r="Q82" s="1454" t="str">
        <f>IF(L82="","",IF(AC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455"/>
      <c r="S82" s="1454"/>
      <c r="T82" s="1454"/>
      <c r="U82" s="1107" t="str" cm="1">
        <f t="array" ref="U82">IF(L82="","",IF(M82=AD82,1,Slookup(MID(AD82,1,3)*1,UomConversion!$D$8:$J$500,5,UomConversion!$E$8:$E$500,MID(M82,1,3)*1,UomConversion!$J$8:$J$500,1)))</f>
        <v/>
      </c>
      <c r="V82" s="732" t="str">
        <f t="shared" si="21"/>
        <v/>
      </c>
      <c r="W82" s="1104" t="str">
        <f t="shared" si="22"/>
        <v/>
      </c>
      <c r="X82" s="1104" t="str">
        <f t="shared" si="23"/>
        <v/>
      </c>
      <c r="Y82" s="732" t="str">
        <f>IF(I82="","",IF(ISNA(MATCH(I82,IF(MID(N82,1,3)*1=1,'[1]1_inventory_totals'!$C$8:$C$10000,IF(MID(N82,1,3)*1=2,'[1]2_inventory_totals'!$C$8:$C$10000,"")),0)),0,IF(AK82&gt;0,1,0)))</f>
        <v/>
      </c>
      <c r="Z82" s="732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A82" s="732" t="str">
        <f>IF(L82="","",IF(ISNA(MATCH(I82,'[1]1_group_totals'!$C$8:$C$10000)),0,IF(AL82&gt;0,1,0)))</f>
        <v/>
      </c>
      <c r="AB82" s="511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511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D82" s="511" t="str">
        <f t="shared" si="24"/>
        <v/>
      </c>
      <c r="AE82" s="511" t="str">
        <f>IF(ISNA(MATCH(MID(AD82,1,3)*1,UomConversion!$D$8:$D$500,0)),"",IF(AI82&lt;&gt;"",AI82,""))</f>
        <v/>
      </c>
      <c r="AF82" s="511" t="str">
        <f>IF(AND(AG82&gt;0,COUNTIFS(UomConversion!$D$8:$D$500,MID(AD82,1,3)*1,UomConversion!$J$8:$J$500,1)&gt;1),TEXT(AG82,"000")&amp;"."&amp;VLOOKUP(AG82,uom_list,4,FALSE),"")</f>
        <v/>
      </c>
      <c r="AG82" s="511" t="str">
        <f t="shared" si="25"/>
        <v/>
      </c>
      <c r="AH82" s="511" t="str">
        <f t="shared" si="26"/>
        <v/>
      </c>
      <c r="AI82" s="126" t="str">
        <f t="shared" si="27"/>
        <v/>
      </c>
      <c r="AJ82" s="126" t="str" cm="1">
        <f t="array" ref="AJ82">IF(L82="","",Slookup(MID(AD82,1,3)*1,UomConversion!$D$8:$J$500,2,UomConversion!$I$8:$I$500,1,UomConversion!$J$8:$J$500,1))</f>
        <v/>
      </c>
      <c r="AK82" s="126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L82" s="126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M82" s="128"/>
      <c r="AN82" s="128"/>
    </row>
    <row r="83" spans="1:40" ht="27" customHeight="1">
      <c r="A83" s="765"/>
      <c r="B83" s="1358"/>
      <c r="C83" s="984"/>
      <c r="D83" s="984"/>
      <c r="E83" s="984"/>
      <c r="F83" s="1369"/>
      <c r="G83" s="213"/>
      <c r="H83" s="906"/>
      <c r="I83" s="426" t="str">
        <f t="shared" si="20"/>
        <v/>
      </c>
      <c r="J83" s="909" t="str">
        <f t="shared" si="15"/>
        <v/>
      </c>
      <c r="K83" s="910" t="str">
        <f t="shared" si="18"/>
        <v/>
      </c>
      <c r="L83" s="1476"/>
      <c r="M83" s="1454"/>
      <c r="N83" s="1454"/>
      <c r="O83" s="1454"/>
      <c r="P83" s="1454" t="str">
        <f t="shared" si="19"/>
        <v/>
      </c>
      <c r="Q83" s="1454" t="str">
        <f>IF(L83="","",IF(AC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455"/>
      <c r="S83" s="1454"/>
      <c r="T83" s="1454"/>
      <c r="U83" s="1107" t="str" cm="1">
        <f t="array" ref="U83">IF(L83="","",IF(M83=AD83,1,Slookup(MID(AD83,1,3)*1,UomConversion!$D$8:$J$500,5,UomConversion!$E$8:$E$500,MID(M83,1,3)*1,UomConversion!$J$8:$J$500,1)))</f>
        <v/>
      </c>
      <c r="V83" s="732" t="str">
        <f t="shared" si="21"/>
        <v/>
      </c>
      <c r="W83" s="1104" t="str">
        <f t="shared" si="22"/>
        <v/>
      </c>
      <c r="X83" s="1104" t="str">
        <f t="shared" si="23"/>
        <v/>
      </c>
      <c r="Y83" s="732" t="str">
        <f>IF(I83="","",IF(ISNA(MATCH(I83,IF(MID(N83,1,3)*1=1,'[1]1_inventory_totals'!$C$8:$C$10000,IF(MID(N83,1,3)*1=2,'[1]2_inventory_totals'!$C$8:$C$10000,"")),0)),0,IF(AK83&gt;0,1,0)))</f>
        <v/>
      </c>
      <c r="Z83" s="732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A83" s="732" t="str">
        <f>IF(L83="","",IF(ISNA(MATCH(I83,'[1]1_group_totals'!$C$8:$C$10000)),0,IF(AL83&gt;0,1,0)))</f>
        <v/>
      </c>
      <c r="AB83" s="511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511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D83" s="511" t="str">
        <f t="shared" si="24"/>
        <v/>
      </c>
      <c r="AE83" s="511" t="str">
        <f>IF(ISNA(MATCH(MID(AD83,1,3)*1,UomConversion!$D$8:$D$500,0)),"",IF(AI83&lt;&gt;"",AI83,""))</f>
        <v/>
      </c>
      <c r="AF83" s="511" t="str">
        <f>IF(AND(AG83&gt;0,COUNTIFS(UomConversion!$D$8:$D$500,MID(AD83,1,3)*1,UomConversion!$J$8:$J$500,1)&gt;1),TEXT(AG83,"000")&amp;"."&amp;VLOOKUP(AG83,uom_list,4,FALSE),"")</f>
        <v/>
      </c>
      <c r="AG83" s="511" t="str">
        <f t="shared" si="25"/>
        <v/>
      </c>
      <c r="AH83" s="511" t="str">
        <f t="shared" si="26"/>
        <v/>
      </c>
      <c r="AI83" s="126" t="str">
        <f t="shared" si="27"/>
        <v/>
      </c>
      <c r="AJ83" s="126" t="str" cm="1">
        <f t="array" ref="AJ83">IF(L83="","",Slookup(MID(AD83,1,3)*1,UomConversion!$D$8:$J$500,2,UomConversion!$I$8:$I$500,1,UomConversion!$J$8:$J$500,1))</f>
        <v/>
      </c>
      <c r="AK83" s="126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L83" s="126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M83" s="128"/>
      <c r="AN83" s="128"/>
    </row>
    <row r="84" spans="1:40" ht="27" customHeight="1">
      <c r="A84" s="765"/>
      <c r="B84" s="1358"/>
      <c r="C84" s="984"/>
      <c r="D84" s="984"/>
      <c r="E84" s="984"/>
      <c r="F84" s="1369"/>
      <c r="G84" s="213"/>
      <c r="H84" s="906"/>
      <c r="I84" s="426" t="str">
        <f t="shared" si="20"/>
        <v/>
      </c>
      <c r="J84" s="909" t="str">
        <f t="shared" si="15"/>
        <v/>
      </c>
      <c r="K84" s="910" t="str">
        <f t="shared" si="18"/>
        <v/>
      </c>
      <c r="L84" s="1476"/>
      <c r="M84" s="1454"/>
      <c r="N84" s="1454"/>
      <c r="O84" s="1454"/>
      <c r="P84" s="1454" t="str">
        <f t="shared" si="19"/>
        <v/>
      </c>
      <c r="Q84" s="1454" t="str">
        <f>IF(L84="","",IF(AC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455"/>
      <c r="S84" s="1454"/>
      <c r="T84" s="1454"/>
      <c r="U84" s="1107" t="str" cm="1">
        <f t="array" ref="U84">IF(L84="","",IF(M84=AD84,1,Slookup(MID(AD84,1,3)*1,UomConversion!$D$8:$J$500,5,UomConversion!$E$8:$E$500,MID(M84,1,3)*1,UomConversion!$J$8:$J$500,1)))</f>
        <v/>
      </c>
      <c r="V84" s="732" t="str">
        <f t="shared" si="21"/>
        <v/>
      </c>
      <c r="W84" s="1104" t="str">
        <f t="shared" si="22"/>
        <v/>
      </c>
      <c r="X84" s="1104" t="str">
        <f t="shared" si="23"/>
        <v/>
      </c>
      <c r="Y84" s="732" t="str">
        <f>IF(I84="","",IF(ISNA(MATCH(I84,IF(MID(N84,1,3)*1=1,'[1]1_inventory_totals'!$C$8:$C$10000,IF(MID(N84,1,3)*1=2,'[1]2_inventory_totals'!$C$8:$C$10000,"")),0)),0,IF(AK84&gt;0,1,0)))</f>
        <v/>
      </c>
      <c r="Z84" s="732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A84" s="732" t="str">
        <f>IF(L84="","",IF(ISNA(MATCH(I84,'[1]1_group_totals'!$C$8:$C$10000)),0,IF(AL84&gt;0,1,0)))</f>
        <v/>
      </c>
      <c r="AB84" s="511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511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D84" s="511" t="str">
        <f t="shared" si="24"/>
        <v/>
      </c>
      <c r="AE84" s="511" t="str">
        <f>IF(ISNA(MATCH(MID(AD84,1,3)*1,UomConversion!$D$8:$D$500,0)),"",IF(AI84&lt;&gt;"",AI84,""))</f>
        <v/>
      </c>
      <c r="AF84" s="511" t="str">
        <f>IF(AND(AG84&gt;0,COUNTIFS(UomConversion!$D$8:$D$500,MID(AD84,1,3)*1,UomConversion!$J$8:$J$500,1)&gt;1),TEXT(AG84,"000")&amp;"."&amp;VLOOKUP(AG84,uom_list,4,FALSE),"")</f>
        <v/>
      </c>
      <c r="AG84" s="511" t="str">
        <f t="shared" si="25"/>
        <v/>
      </c>
      <c r="AH84" s="511" t="str">
        <f t="shared" si="26"/>
        <v/>
      </c>
      <c r="AI84" s="126" t="str">
        <f t="shared" si="27"/>
        <v/>
      </c>
      <c r="AJ84" s="126" t="str" cm="1">
        <f t="array" ref="AJ84">IF(L84="","",Slookup(MID(AD84,1,3)*1,UomConversion!$D$8:$J$500,2,UomConversion!$I$8:$I$500,1,UomConversion!$J$8:$J$500,1))</f>
        <v/>
      </c>
      <c r="AK84" s="126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L84" s="126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M84" s="128"/>
      <c r="AN84" s="128"/>
    </row>
    <row r="85" spans="1:40" ht="27" customHeight="1">
      <c r="A85" s="765"/>
      <c r="B85" s="1358"/>
      <c r="C85" s="984"/>
      <c r="D85" s="984"/>
      <c r="E85" s="984"/>
      <c r="F85" s="1369"/>
      <c r="G85" s="213"/>
      <c r="H85" s="906"/>
      <c r="I85" s="426" t="str">
        <f t="shared" si="20"/>
        <v/>
      </c>
      <c r="J85" s="909" t="str">
        <f t="shared" si="15"/>
        <v/>
      </c>
      <c r="K85" s="910" t="str">
        <f t="shared" si="18"/>
        <v/>
      </c>
      <c r="L85" s="1476"/>
      <c r="M85" s="1454"/>
      <c r="N85" s="1454"/>
      <c r="O85" s="1454"/>
      <c r="P85" s="1454" t="str">
        <f t="shared" si="19"/>
        <v/>
      </c>
      <c r="Q85" s="1454" t="str">
        <f>IF(L85="","",IF(AC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455"/>
      <c r="S85" s="1454"/>
      <c r="T85" s="1454"/>
      <c r="U85" s="1107" t="str" cm="1">
        <f t="array" ref="U85">IF(L85="","",IF(M85=AD85,1,Slookup(MID(AD85,1,3)*1,UomConversion!$D$8:$J$500,5,UomConversion!$E$8:$E$500,MID(M85,1,3)*1,UomConversion!$J$8:$J$500,1)))</f>
        <v/>
      </c>
      <c r="V85" s="732" t="str">
        <f t="shared" si="21"/>
        <v/>
      </c>
      <c r="W85" s="1104" t="str">
        <f t="shared" si="22"/>
        <v/>
      </c>
      <c r="X85" s="1104" t="str">
        <f t="shared" si="23"/>
        <v/>
      </c>
      <c r="Y85" s="732" t="str">
        <f>IF(I85="","",IF(ISNA(MATCH(I85,IF(MID(N85,1,3)*1=1,'[1]1_inventory_totals'!$C$8:$C$10000,IF(MID(N85,1,3)*1=2,'[1]2_inventory_totals'!$C$8:$C$10000,"")),0)),0,IF(AK85&gt;0,1,0)))</f>
        <v/>
      </c>
      <c r="Z85" s="732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A85" s="732" t="str">
        <f>IF(L85="","",IF(ISNA(MATCH(I85,'[1]1_group_totals'!$C$8:$C$10000)),0,IF(AL85&gt;0,1,0)))</f>
        <v/>
      </c>
      <c r="AB85" s="511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511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D85" s="511" t="str">
        <f t="shared" si="24"/>
        <v/>
      </c>
      <c r="AE85" s="511" t="str">
        <f>IF(ISNA(MATCH(MID(AD85,1,3)*1,UomConversion!$D$8:$D$500,0)),"",IF(AI85&lt;&gt;"",AI85,""))</f>
        <v/>
      </c>
      <c r="AF85" s="511" t="str">
        <f>IF(AND(AG85&gt;0,COUNTIFS(UomConversion!$D$8:$D$500,MID(AD85,1,3)*1,UomConversion!$J$8:$J$500,1)&gt;1),TEXT(AG85,"000")&amp;"."&amp;VLOOKUP(AG85,uom_list,4,FALSE),"")</f>
        <v/>
      </c>
      <c r="AG85" s="511" t="str">
        <f t="shared" si="25"/>
        <v/>
      </c>
      <c r="AH85" s="511" t="str">
        <f t="shared" si="26"/>
        <v/>
      </c>
      <c r="AI85" s="126" t="str">
        <f t="shared" si="27"/>
        <v/>
      </c>
      <c r="AJ85" s="126" t="str" cm="1">
        <f t="array" ref="AJ85">IF(L85="","",Slookup(MID(AD85,1,3)*1,UomConversion!$D$8:$J$500,2,UomConversion!$I$8:$I$500,1,UomConversion!$J$8:$J$500,1))</f>
        <v/>
      </c>
      <c r="AK85" s="126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L85" s="126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M85" s="128"/>
      <c r="AN85" s="128"/>
    </row>
    <row r="86" spans="1:40" ht="27" customHeight="1">
      <c r="A86" s="765"/>
      <c r="B86" s="1358"/>
      <c r="C86" s="984"/>
      <c r="D86" s="984"/>
      <c r="E86" s="984"/>
      <c r="F86" s="1369"/>
      <c r="G86" s="213"/>
      <c r="H86" s="906"/>
      <c r="I86" s="426" t="str">
        <f t="shared" si="20"/>
        <v/>
      </c>
      <c r="J86" s="909" t="str">
        <f t="shared" si="15"/>
        <v/>
      </c>
      <c r="K86" s="910" t="str">
        <f t="shared" si="18"/>
        <v/>
      </c>
      <c r="L86" s="1476"/>
      <c r="M86" s="1454"/>
      <c r="N86" s="1454"/>
      <c r="O86" s="1454"/>
      <c r="P86" s="1454" t="str">
        <f t="shared" si="19"/>
        <v/>
      </c>
      <c r="Q86" s="1454" t="str">
        <f>IF(L86="","",IF(AC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455"/>
      <c r="S86" s="1454"/>
      <c r="T86" s="1454"/>
      <c r="U86" s="1107" t="str" cm="1">
        <f t="array" ref="U86">IF(L86="","",IF(M86=AD86,1,Slookup(MID(AD86,1,3)*1,UomConversion!$D$8:$J$500,5,UomConversion!$E$8:$E$500,MID(M86,1,3)*1,UomConversion!$J$8:$J$500,1)))</f>
        <v/>
      </c>
      <c r="V86" s="732" t="str">
        <f t="shared" si="21"/>
        <v/>
      </c>
      <c r="W86" s="1104" t="str">
        <f t="shared" si="22"/>
        <v/>
      </c>
      <c r="X86" s="1104" t="str">
        <f t="shared" si="23"/>
        <v/>
      </c>
      <c r="Y86" s="732" t="str">
        <f>IF(I86="","",IF(ISNA(MATCH(I86,IF(MID(N86,1,3)*1=1,'[1]1_inventory_totals'!$C$8:$C$10000,IF(MID(N86,1,3)*1=2,'[1]2_inventory_totals'!$C$8:$C$10000,"")),0)),0,IF(AK86&gt;0,1,0)))</f>
        <v/>
      </c>
      <c r="Z86" s="732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A86" s="732" t="str">
        <f>IF(L86="","",IF(ISNA(MATCH(I86,'[1]1_group_totals'!$C$8:$C$10000)),0,IF(AL86&gt;0,1,0)))</f>
        <v/>
      </c>
      <c r="AB86" s="511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511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D86" s="511" t="str">
        <f t="shared" si="24"/>
        <v/>
      </c>
      <c r="AE86" s="511" t="str">
        <f>IF(ISNA(MATCH(MID(AD86,1,3)*1,UomConversion!$D$8:$D$500,0)),"",IF(AI86&lt;&gt;"",AI86,""))</f>
        <v/>
      </c>
      <c r="AF86" s="511" t="str">
        <f>IF(AND(AG86&gt;0,COUNTIFS(UomConversion!$D$8:$D$500,MID(AD86,1,3)*1,UomConversion!$J$8:$J$500,1)&gt;1),TEXT(AG86,"000")&amp;"."&amp;VLOOKUP(AG86,uom_list,4,FALSE),"")</f>
        <v/>
      </c>
      <c r="AG86" s="511" t="str">
        <f t="shared" si="25"/>
        <v/>
      </c>
      <c r="AH86" s="511" t="str">
        <f t="shared" si="26"/>
        <v/>
      </c>
      <c r="AI86" s="126" t="str">
        <f t="shared" si="27"/>
        <v/>
      </c>
      <c r="AJ86" s="126" t="str" cm="1">
        <f t="array" ref="AJ86">IF(L86="","",Slookup(MID(AD86,1,3)*1,UomConversion!$D$8:$J$500,2,UomConversion!$I$8:$I$500,1,UomConversion!$J$8:$J$500,1))</f>
        <v/>
      </c>
      <c r="AK86" s="126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L86" s="126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M86" s="128"/>
      <c r="AN86" s="128"/>
    </row>
    <row r="87" spans="1:40" ht="27" customHeight="1">
      <c r="A87" s="765"/>
      <c r="B87" s="1358"/>
      <c r="C87" s="984"/>
      <c r="D87" s="984"/>
      <c r="E87" s="984"/>
      <c r="F87" s="1369"/>
      <c r="G87" s="213"/>
      <c r="I87" s="426" t="str">
        <f t="shared" si="20"/>
        <v/>
      </c>
      <c r="J87" s="909" t="str">
        <f t="shared" si="15"/>
        <v/>
      </c>
      <c r="K87" s="910" t="str">
        <f t="shared" si="18"/>
        <v/>
      </c>
      <c r="L87" s="1476"/>
      <c r="M87" s="1454"/>
      <c r="N87" s="1454"/>
      <c r="O87" s="1454"/>
      <c r="P87" s="1454" t="str">
        <f t="shared" si="19"/>
        <v/>
      </c>
      <c r="Q87" s="1454" t="str">
        <f>IF(L87="","",IF(AC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455"/>
      <c r="S87" s="1454"/>
      <c r="T87" s="1454"/>
      <c r="U87" s="1107" t="str" cm="1">
        <f t="array" ref="U87">IF(L87="","",IF(M87=AD87,1,Slookup(MID(AD87,1,3)*1,UomConversion!$D$8:$J$500,5,UomConversion!$E$8:$E$500,MID(M87,1,3)*1,UomConversion!$J$8:$J$500,1)))</f>
        <v/>
      </c>
      <c r="V87" s="732" t="str">
        <f t="shared" si="21"/>
        <v/>
      </c>
      <c r="W87" s="1104" t="str">
        <f t="shared" si="22"/>
        <v/>
      </c>
      <c r="X87" s="1104" t="str">
        <f t="shared" si="23"/>
        <v/>
      </c>
      <c r="Y87" s="732" t="str">
        <f>IF(I87="","",IF(ISNA(MATCH(I87,IF(MID(N87,1,3)*1=1,'[1]1_inventory_totals'!$C$8:$C$10000,IF(MID(N87,1,3)*1=2,'[1]2_inventory_totals'!$C$8:$C$10000,"")),0)),0,IF(AK87&gt;0,1,0)))</f>
        <v/>
      </c>
      <c r="Z87" s="732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A87" s="732" t="str">
        <f>IF(L87="","",IF(ISNA(MATCH(I87,'[1]1_group_totals'!$C$8:$C$10000)),0,IF(AL87&gt;0,1,0)))</f>
        <v/>
      </c>
      <c r="AB87" s="511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511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D87" s="511" t="str">
        <f t="shared" si="24"/>
        <v/>
      </c>
      <c r="AE87" s="511" t="str">
        <f>IF(ISNA(MATCH(MID(AD87,1,3)*1,UomConversion!$D$8:$D$500,0)),"",IF(AI87&lt;&gt;"",AI87,""))</f>
        <v/>
      </c>
      <c r="AF87" s="511" t="str">
        <f>IF(AND(AG87&gt;0,COUNTIFS(UomConversion!$D$8:$D$500,MID(AD87,1,3)*1,UomConversion!$J$8:$J$500,1)&gt;1),TEXT(AG87,"000")&amp;"."&amp;VLOOKUP(AG87,uom_list,4,FALSE),"")</f>
        <v/>
      </c>
      <c r="AG87" s="511" t="str">
        <f t="shared" si="25"/>
        <v/>
      </c>
      <c r="AH87" s="511" t="str">
        <f t="shared" si="26"/>
        <v/>
      </c>
      <c r="AI87" s="126" t="str">
        <f t="shared" si="27"/>
        <v/>
      </c>
      <c r="AJ87" s="126" t="str" cm="1">
        <f t="array" ref="AJ87">IF(L87="","",Slookup(MID(AD87,1,3)*1,UomConversion!$D$8:$J$500,2,UomConversion!$I$8:$I$500,1,UomConversion!$J$8:$J$500,1))</f>
        <v/>
      </c>
      <c r="AK87" s="126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L87" s="126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M87" s="128"/>
      <c r="AN87" s="128"/>
    </row>
    <row r="88" spans="1:40" ht="27" customHeight="1">
      <c r="A88" s="765"/>
      <c r="B88" s="1466"/>
      <c r="C88" s="814"/>
      <c r="D88" s="814"/>
      <c r="E88" s="814"/>
      <c r="F88" s="1467"/>
      <c r="G88" s="213"/>
      <c r="I88" s="1315"/>
      <c r="J88" s="265"/>
      <c r="K88" s="265"/>
      <c r="L88" s="1100"/>
      <c r="M88" s="1469"/>
      <c r="N88" s="1469"/>
      <c r="O88" s="1446" t="s">
        <v>2368</v>
      </c>
      <c r="P88" s="1470">
        <f>SUM(P8:P87)</f>
        <v>1</v>
      </c>
      <c r="Q88" s="1469" t="s">
        <v>179</v>
      </c>
      <c r="R88" s="1469"/>
      <c r="S88" s="1469"/>
      <c r="T88" s="1469"/>
      <c r="W88" s="1105"/>
      <c r="X88" s="1105"/>
      <c r="AN88" s="128"/>
    </row>
    <row r="89" spans="1:40" ht="27" customHeight="1">
      <c r="A89" s="765"/>
      <c r="B89" s="1358"/>
      <c r="C89" s="923"/>
      <c r="D89" s="923"/>
      <c r="E89" s="923"/>
      <c r="F89" s="1369"/>
      <c r="G89" s="213"/>
      <c r="L89" s="1101"/>
      <c r="M89" s="1096"/>
      <c r="N89" s="1096"/>
      <c r="O89" s="1096"/>
      <c r="P89" s="1096"/>
      <c r="Q89" s="1096"/>
      <c r="R89" s="1096"/>
      <c r="S89" s="1096"/>
      <c r="T89" s="1096"/>
      <c r="AN89" s="128"/>
    </row>
    <row r="90" spans="1:40" ht="27" customHeight="1">
      <c r="B90" s="1358"/>
      <c r="C90" s="946"/>
      <c r="D90" s="946"/>
      <c r="E90" s="946"/>
      <c r="F90" s="1369"/>
      <c r="G90" s="213"/>
      <c r="J90" s="265"/>
      <c r="K90" s="265"/>
      <c r="L90" s="1102"/>
      <c r="AN90" s="128"/>
    </row>
    <row r="91" spans="1:40" ht="27" customHeight="1">
      <c r="B91" s="1370"/>
      <c r="C91" s="1371"/>
      <c r="D91" s="1372"/>
      <c r="E91" s="1373"/>
      <c r="F91" s="1374"/>
      <c r="K91" s="1019"/>
      <c r="M91" s="127"/>
      <c r="N91" s="127"/>
      <c r="O91" s="127"/>
      <c r="P91" s="127"/>
      <c r="Q91" s="127"/>
      <c r="R91" s="127"/>
      <c r="S91" s="127"/>
      <c r="T91" s="127"/>
    </row>
    <row r="92" spans="1:40" ht="24.95" customHeight="1">
      <c r="J92" s="593"/>
      <c r="K92" s="593"/>
      <c r="L92" s="593"/>
      <c r="M92" s="426"/>
      <c r="N92" s="426"/>
      <c r="O92" s="426"/>
      <c r="P92" s="426"/>
      <c r="Q92" s="426"/>
      <c r="R92" s="426"/>
      <c r="S92" s="426"/>
      <c r="T92" s="426"/>
    </row>
    <row r="93" spans="1:40" ht="25.5" customHeight="1"/>
    <row r="101" spans="41:60" ht="30" customHeight="1"/>
    <row r="102" spans="41:60" ht="30" customHeight="1"/>
    <row r="103" spans="41:60" ht="30" customHeight="1"/>
    <row r="104" spans="41:60" ht="30" customHeight="1"/>
    <row r="110" spans="41:60" ht="24.95" customHeight="1">
      <c r="AO110" s="135"/>
    </row>
    <row r="112" spans="41:60" ht="7.5" customHeight="1">
      <c r="AP112" s="472"/>
      <c r="BH112" s="693"/>
    </row>
    <row r="113" spans="41:73" ht="24.95" customHeight="1">
      <c r="AO113" s="1071" t="s">
        <v>1723</v>
      </c>
      <c r="BG113" s="695"/>
    </row>
    <row r="114" spans="41:73" ht="24.95" customHeight="1">
      <c r="AO114" s="1072" t="s">
        <v>288</v>
      </c>
      <c r="AP114" s="637"/>
      <c r="AQ114" s="637" t="s">
        <v>1717</v>
      </c>
      <c r="AR114" s="697" t="str">
        <f>VLOOKUP(1,company_list,2,FALSE)</f>
        <v>គោកស្នួល ខនស្រ្តាក់សិន មេធៀរៀល</v>
      </c>
      <c r="AS114" s="278"/>
      <c r="AT114" s="278"/>
      <c r="AU114" s="278"/>
      <c r="BG114" s="698"/>
      <c r="BI114" s="699"/>
      <c r="BJ114" s="699"/>
      <c r="BK114" s="699"/>
      <c r="BL114" s="699"/>
      <c r="BM114" s="129"/>
    </row>
    <row r="115" spans="41:73" ht="24.95" customHeight="1">
      <c r="AO115" s="489" t="s">
        <v>147</v>
      </c>
      <c r="AP115" s="733"/>
      <c r="AQ115" s="733" t="s">
        <v>1717</v>
      </c>
      <c r="AR115" s="700" t="e">
        <f>IF(C13="","",VLOOKUP(MID(C13,1,2),branch_list,4,FALSE))</f>
        <v>#N/A</v>
      </c>
      <c r="AS115" s="703"/>
      <c r="AT115" s="703"/>
      <c r="AU115" s="703"/>
      <c r="BG115" s="1577"/>
      <c r="BH115" s="1577"/>
      <c r="BI115" s="1577"/>
      <c r="BJ115" s="1577"/>
      <c r="BK115" s="1577"/>
      <c r="BL115" s="699"/>
      <c r="BM115" s="129"/>
    </row>
    <row r="116" spans="41:73" ht="24.95" customHeight="1">
      <c r="AO116" s="489" t="s">
        <v>145</v>
      </c>
      <c r="AP116" s="733"/>
      <c r="AQ116" s="733" t="s">
        <v>1717</v>
      </c>
      <c r="AR116" s="700" t="e">
        <f>IF(C13="","",VLOOKUP(MID(C13,1,2),branch_list,11,FALSE))</f>
        <v>#N/A</v>
      </c>
      <c r="AS116" s="703"/>
      <c r="AT116" s="703"/>
      <c r="AU116" s="703"/>
      <c r="AW116" s="1578" t="str">
        <f>IF(quote_service_type="","",MID(quote_service_type,5,100))</f>
        <v>សាប៊ូបញ្ចុះតម្លៃ</v>
      </c>
      <c r="AX116" s="1578"/>
      <c r="AY116" s="1578"/>
      <c r="AZ116" s="1578"/>
      <c r="BA116" s="1578"/>
      <c r="BB116" s="241"/>
      <c r="BC116" s="1570"/>
      <c r="BG116" s="1577"/>
      <c r="BH116" s="1577"/>
      <c r="BI116" s="1577"/>
      <c r="BJ116" s="1577"/>
      <c r="BK116" s="1577"/>
      <c r="BL116" s="699"/>
      <c r="BM116" s="129"/>
    </row>
    <row r="117" spans="41:73" ht="24.95" customHeight="1">
      <c r="AO117" s="1071"/>
      <c r="AP117" s="472"/>
      <c r="AW117" s="1578"/>
      <c r="AX117" s="1578"/>
      <c r="AY117" s="1578"/>
      <c r="AZ117" s="1578"/>
      <c r="BA117" s="1578"/>
      <c r="BB117" s="241"/>
      <c r="BC117" s="1570"/>
      <c r="BG117" s="704"/>
      <c r="BH117" s="693"/>
      <c r="BO117" s="1569" t="str">
        <f>IF(quote_service_type="","",MID(quote_service_type,5,100))</f>
        <v>សាប៊ូបញ្ចុះតម្លៃ</v>
      </c>
      <c r="BP117" s="1569"/>
      <c r="BQ117" s="1569"/>
      <c r="BR117" s="1569"/>
      <c r="BS117" s="1569"/>
      <c r="BU117" s="1570"/>
    </row>
    <row r="118" spans="41:73" ht="24.95" customHeight="1">
      <c r="AT118" s="229"/>
      <c r="AU118" s="229"/>
      <c r="AW118" s="1578"/>
      <c r="AX118" s="1578"/>
      <c r="AY118" s="1578"/>
      <c r="AZ118" s="1578"/>
      <c r="BA118" s="1578"/>
      <c r="BB118" s="241"/>
      <c r="BC118" s="1570"/>
      <c r="BL118" s="229"/>
      <c r="BM118" s="229"/>
      <c r="BO118" s="1569"/>
      <c r="BP118" s="1569"/>
      <c r="BQ118" s="1569"/>
      <c r="BR118" s="1569"/>
      <c r="BS118" s="1569"/>
      <c r="BU118" s="1570"/>
    </row>
    <row r="119" spans="41:73" ht="24.95" customHeight="1">
      <c r="AO119" s="1572" t="s">
        <v>288</v>
      </c>
      <c r="AP119" s="1572"/>
      <c r="AQ119" s="222" t="s">
        <v>1717</v>
      </c>
      <c r="AR119" s="705" t="e">
        <f>IF(#REF!="","",VLOOKUP(MID(#REF!,1,4),customer_list,4,FALSE))</f>
        <v>#REF!</v>
      </c>
      <c r="AS119" s="229"/>
      <c r="AT119" s="706"/>
      <c r="AU119" s="706"/>
      <c r="AY119" s="477"/>
      <c r="AZ119" s="707"/>
      <c r="BA119" s="477"/>
      <c r="BB119" s="707"/>
      <c r="BG119" s="1572" t="s">
        <v>288</v>
      </c>
      <c r="BH119" s="1572"/>
      <c r="BI119" s="327" t="s">
        <v>1717</v>
      </c>
      <c r="BJ119" s="705" t="e">
        <f>IF(#REF!="","",VLOOKUP(MID(#REF!,1,4),customer_list,4,FALSE))</f>
        <v>#REF!</v>
      </c>
      <c r="BK119" s="229"/>
      <c r="BL119" s="706"/>
      <c r="BM119" s="706"/>
      <c r="BU119" s="1570"/>
    </row>
    <row r="120" spans="41:73" ht="24.95" customHeight="1">
      <c r="AO120" s="1572" t="s">
        <v>147</v>
      </c>
      <c r="AP120" s="1572"/>
      <c r="AQ120" s="222" t="s">
        <v>1717</v>
      </c>
      <c r="AR120" s="326" t="e">
        <f>IF(#REF!="","",VLOOKUP(MID(#REF!,1,4),customer_list,8,FALSE))</f>
        <v>#REF!</v>
      </c>
      <c r="AS120" s="706"/>
      <c r="AT120" s="706"/>
      <c r="AU120" s="706"/>
      <c r="AY120" s="268"/>
      <c r="AZ120" s="268" t="s">
        <v>99</v>
      </c>
      <c r="BA120" s="327" t="s">
        <v>1717</v>
      </c>
      <c r="BB120" s="708"/>
      <c r="BC120" s="709">
        <f>IF(C9="","",C9)</f>
        <v>46184</v>
      </c>
      <c r="BD120" s="709"/>
      <c r="BG120" s="1572" t="s">
        <v>147</v>
      </c>
      <c r="BH120" s="1572"/>
      <c r="BI120" s="327" t="s">
        <v>1717</v>
      </c>
      <c r="BJ120" s="326" t="e">
        <f>IF(#REF!="","",VLOOKUP(MID(#REF!,1,4),customer_list,8,FALSE))</f>
        <v>#REF!</v>
      </c>
      <c r="BK120" s="706"/>
      <c r="BL120" s="706"/>
      <c r="BM120" s="706"/>
      <c r="BQ120" s="268"/>
      <c r="BR120" s="306"/>
      <c r="BS120" s="710" t="s">
        <v>1817</v>
      </c>
      <c r="BT120" s="708"/>
      <c r="BU120" s="709">
        <f>IF(C9="","",C9)</f>
        <v>46184</v>
      </c>
    </row>
    <row r="121" spans="41:73" ht="24.95" customHeight="1">
      <c r="AO121" s="1572" t="s">
        <v>145</v>
      </c>
      <c r="AP121" s="1572"/>
      <c r="AQ121" s="222" t="s">
        <v>1717</v>
      </c>
      <c r="AR121" s="706" t="e">
        <f>IF(#REF!="","",VLOOKUP(MID(#REF!,1,4),customer_list,6,FALSE))</f>
        <v>#REF!</v>
      </c>
      <c r="AS121" s="706"/>
      <c r="AY121" s="268"/>
      <c r="AZ121" s="268" t="s">
        <v>204</v>
      </c>
      <c r="BA121" s="327" t="s">
        <v>1717</v>
      </c>
      <c r="BB121" s="711"/>
      <c r="BC121" s="711" t="str">
        <f>IF(E9="","",E9)</f>
        <v>26ADJ000005</v>
      </c>
      <c r="BG121" s="1572" t="s">
        <v>145</v>
      </c>
      <c r="BH121" s="1572"/>
      <c r="BI121" s="327" t="s">
        <v>1717</v>
      </c>
      <c r="BJ121" s="706" t="e">
        <f>IF(#REF!="","",VLOOKUP(MID(#REF!,1,4),customer_list,6,FALSE))</f>
        <v>#REF!</v>
      </c>
      <c r="BK121" s="706"/>
      <c r="BQ121" s="268"/>
      <c r="BR121" s="306"/>
      <c r="BS121" s="306" t="s">
        <v>1818</v>
      </c>
      <c r="BT121" s="711"/>
      <c r="BU121" s="711" t="str">
        <f>IF(E9="","",E9)</f>
        <v>26ADJ000005</v>
      </c>
    </row>
    <row r="122" spans="41:73" ht="12" customHeight="1"/>
    <row r="123" spans="41:73" ht="24.95" customHeight="1">
      <c r="AO123" s="1073" t="s">
        <v>59</v>
      </c>
      <c r="AP123" s="1616" t="s">
        <v>204</v>
      </c>
      <c r="AQ123" s="1619"/>
      <c r="AR123" s="1619"/>
      <c r="AS123" s="1616" t="s">
        <v>126</v>
      </c>
      <c r="AT123" s="1617"/>
      <c r="AU123" s="712" t="s">
        <v>91</v>
      </c>
      <c r="AV123" s="712" t="s">
        <v>91</v>
      </c>
      <c r="AW123" s="712" t="s">
        <v>75</v>
      </c>
      <c r="AX123" s="1616" t="s">
        <v>76</v>
      </c>
      <c r="AY123" s="1617"/>
      <c r="AZ123" s="1616" t="s">
        <v>58</v>
      </c>
      <c r="BA123" s="1617"/>
      <c r="BB123" s="1616" t="s">
        <v>263</v>
      </c>
      <c r="BC123" s="1617"/>
      <c r="BD123" s="714"/>
      <c r="BG123" s="712" t="s">
        <v>59</v>
      </c>
      <c r="BH123" s="1616" t="s">
        <v>204</v>
      </c>
      <c r="BI123" s="1619"/>
      <c r="BJ123" s="1619"/>
      <c r="BK123" s="1616" t="s">
        <v>126</v>
      </c>
      <c r="BL123" s="1617"/>
      <c r="BM123" s="712" t="s">
        <v>91</v>
      </c>
      <c r="BN123" s="712" t="s">
        <v>91</v>
      </c>
      <c r="BO123" s="713" t="s">
        <v>75</v>
      </c>
      <c r="BP123" s="1616" t="s">
        <v>76</v>
      </c>
      <c r="BQ123" s="1617"/>
      <c r="BR123" s="1616" t="s">
        <v>58</v>
      </c>
      <c r="BS123" s="1617"/>
      <c r="BT123" s="1616" t="s">
        <v>263</v>
      </c>
      <c r="BU123" s="1617"/>
    </row>
    <row r="124" spans="41:73" ht="24.95" customHeight="1">
      <c r="AO124" s="715" t="s">
        <v>10</v>
      </c>
      <c r="AP124" s="1614" t="s">
        <v>132</v>
      </c>
      <c r="AQ124" s="1618"/>
      <c r="AR124" s="1618"/>
      <c r="AS124" s="1614" t="s">
        <v>388</v>
      </c>
      <c r="AT124" s="1615"/>
      <c r="AU124" s="715" t="s">
        <v>93</v>
      </c>
      <c r="AV124" s="715" t="s">
        <v>836</v>
      </c>
      <c r="AW124" s="715" t="s">
        <v>15</v>
      </c>
      <c r="AX124" s="1614" t="s">
        <v>94</v>
      </c>
      <c r="AY124" s="1615"/>
      <c r="AZ124" s="1614" t="s">
        <v>113</v>
      </c>
      <c r="BA124" s="1615"/>
      <c r="BB124" s="1614" t="s">
        <v>1718</v>
      </c>
      <c r="BC124" s="1615"/>
      <c r="BD124" s="717"/>
      <c r="BG124" s="715" t="s">
        <v>10</v>
      </c>
      <c r="BH124" s="1614" t="s">
        <v>132</v>
      </c>
      <c r="BI124" s="1618"/>
      <c r="BJ124" s="1618"/>
      <c r="BK124" s="1614" t="s">
        <v>388</v>
      </c>
      <c r="BL124" s="1615"/>
      <c r="BM124" s="715" t="s">
        <v>93</v>
      </c>
      <c r="BN124" s="715" t="s">
        <v>836</v>
      </c>
      <c r="BO124" s="716" t="s">
        <v>15</v>
      </c>
      <c r="BP124" s="1614" t="s">
        <v>94</v>
      </c>
      <c r="BQ124" s="1615"/>
      <c r="BR124" s="1614" t="s">
        <v>113</v>
      </c>
      <c r="BS124" s="1615"/>
      <c r="BT124" s="1614" t="s">
        <v>1718</v>
      </c>
      <c r="BU124" s="1615"/>
    </row>
    <row r="125" spans="41:73" ht="24.95" customHeight="1">
      <c r="AO125" s="1074">
        <f>IF(L8="","",1)</f>
        <v>1</v>
      </c>
      <c r="AP125" s="718" t="str">
        <f t="shared" ref="AP125:AP156" si="28">IF(K8&lt;&gt;"",K8,"")</f>
        <v>KS01</v>
      </c>
      <c r="AQ125" s="718"/>
      <c r="AR125" s="719"/>
      <c r="AS125" s="720" t="str">
        <f t="shared" ref="AS125:AS156" si="29">IF(L8&lt;&gt;"",MID(L8,7,200),"")</f>
        <v>អំពូលភ្លើង 75W #KS01</v>
      </c>
      <c r="AT125" s="721"/>
      <c r="AU125" s="722" t="e">
        <f>IF(#REF!&gt;0,#REF!,"")</f>
        <v>#REF!</v>
      </c>
      <c r="AV125" s="722" t="e">
        <f>IF(#REF!&lt;&gt;"",#REF!,"")</f>
        <v>#REF!</v>
      </c>
      <c r="AW125" s="723" t="str">
        <f t="shared" ref="AW125:AW156" si="30">IF(L8&lt;&gt;"",MID(M8,5,100),"")</f>
        <v>PCS</v>
      </c>
      <c r="AX125" s="724" t="str">
        <f t="shared" ref="AX125:AX188" si="31">IF(AS125="","",quote_currency_symbol)</f>
        <v>$</v>
      </c>
      <c r="AY125" s="725" t="e">
        <f>IF(L8&lt;&gt;"",#REF!,"")</f>
        <v>#REF!</v>
      </c>
      <c r="AZ125" s="726" t="e">
        <f>IF(BA125=0,"",quote_currency_symbol)</f>
        <v>#REF!</v>
      </c>
      <c r="BA125" s="727" t="e">
        <f>IF(L8&lt;&gt;"",#REF!,"")</f>
        <v>#REF!</v>
      </c>
      <c r="BB125" s="726" t="str">
        <f t="shared" ref="BB125:BB188" si="32">IF(AS125="","",quote_currency_symbol)</f>
        <v>$</v>
      </c>
      <c r="BC125" s="728" t="e">
        <f>IF(AND(AS125&lt;&gt;"",AU125&gt;0),(N(AU125))*AY125-BA125,"")</f>
        <v>#REF!</v>
      </c>
      <c r="BD125" s="717"/>
      <c r="BG125" s="718">
        <f>IF(L8="","",1)</f>
        <v>1</v>
      </c>
      <c r="BH125" s="719" t="str">
        <f t="shared" ref="BH125:BH156" si="33">IF(L8&lt;&gt;"",K8,"")</f>
        <v>KS01</v>
      </c>
      <c r="BI125" s="719"/>
      <c r="BJ125" s="719"/>
      <c r="BK125" s="720" t="str">
        <f t="shared" ref="BK125:BK156" si="34">IF(L8&lt;&gt;"",MID(L8,7,200),"")</f>
        <v>អំពូលភ្លើង 75W #KS01</v>
      </c>
      <c r="BL125" s="721"/>
      <c r="BM125" s="718" t="e">
        <f>IF(#REF!&gt;0,#REF!,"")</f>
        <v>#REF!</v>
      </c>
      <c r="BN125" s="718" t="e">
        <f>IF(#REF!&lt;&gt;"",#REF!,"")</f>
        <v>#REF!</v>
      </c>
      <c r="BO125" s="723" t="str">
        <f t="shared" ref="BO125:BO156" si="35">IF(L8&lt;&gt;"",MID(M8,5,100),"")</f>
        <v>PCS</v>
      </c>
      <c r="BP125" s="724" t="str">
        <f t="shared" ref="BP125:BP188" si="36">IF(BK125="","",quote_currency_symbol)</f>
        <v>$</v>
      </c>
      <c r="BQ125" s="729" t="e">
        <f>IF(L8&lt;&gt;"",#REF!,"")</f>
        <v>#REF!</v>
      </c>
      <c r="BR125" s="730" t="str">
        <f t="shared" ref="BR125:BR188" si="37">IF(BK125="","",quote_currency_symbol)</f>
        <v>$</v>
      </c>
      <c r="BS125" s="730" t="e">
        <f>IF(L8&lt;&gt;"",#REF!,"")</f>
        <v>#REF!</v>
      </c>
      <c r="BT125" s="731" t="str">
        <f t="shared" ref="BT125:BT188" si="38">IF(BK125="","",quote_currency_symbol)</f>
        <v>$</v>
      </c>
      <c r="BU125" s="730" t="e">
        <f>IF(AND(BK125&lt;&gt;"",BM125&gt;0),(N(BM125))*BQ125-BS125,"")</f>
        <v>#REF!</v>
      </c>
    </row>
    <row r="126" spans="41:73" ht="24.95" customHeight="1">
      <c r="AO126" s="488" t="str">
        <f t="shared" ref="AO126:AO157" si="39">IF(L9="","",AO125+1)</f>
        <v/>
      </c>
      <c r="AP126" s="732" t="str">
        <f t="shared" si="28"/>
        <v/>
      </c>
      <c r="AQ126" s="732"/>
      <c r="AR126" s="487"/>
      <c r="AS126" s="720" t="str">
        <f t="shared" si="29"/>
        <v/>
      </c>
      <c r="AT126" s="700"/>
      <c r="AU126" s="733" t="e">
        <f>IF(#REF!&gt;0,#REF!,"")</f>
        <v>#REF!</v>
      </c>
      <c r="AV126" s="733" t="e">
        <f>IF(#REF!&lt;&gt;"",#REF!,"")</f>
        <v>#REF!</v>
      </c>
      <c r="AW126" s="723" t="str">
        <f t="shared" si="30"/>
        <v/>
      </c>
      <c r="AX126" s="734" t="str">
        <f t="shared" si="31"/>
        <v/>
      </c>
      <c r="AY126" s="727" t="str">
        <f>IF(L9&lt;&gt;"",#REF!,"")</f>
        <v/>
      </c>
      <c r="AZ126" s="735" t="str">
        <f t="shared" ref="AZ126:AZ189" si="40">IF(AS126="","",quote_currency_symbol)</f>
        <v/>
      </c>
      <c r="BA126" s="727" t="str">
        <f>IF(L9&lt;&gt;"",#REF!,"")</f>
        <v/>
      </c>
      <c r="BB126" s="735" t="str">
        <f t="shared" si="32"/>
        <v/>
      </c>
      <c r="BC126" s="728" t="e">
        <f t="shared" ref="BC126:BC189" si="41">IF(AND(AS126&lt;&gt;"",AU126&gt;0),(N(AU126))*AY126-BA126,"")</f>
        <v>#REF!</v>
      </c>
      <c r="BD126" s="717"/>
      <c r="BG126" s="732" t="str">
        <f t="shared" ref="BG126:BG157" si="42">IF(L9="","",BG125+1)</f>
        <v/>
      </c>
      <c r="BH126" s="487" t="str">
        <f t="shared" si="33"/>
        <v/>
      </c>
      <c r="BI126" s="487"/>
      <c r="BJ126" s="487"/>
      <c r="BK126" s="720" t="str">
        <f t="shared" si="34"/>
        <v/>
      </c>
      <c r="BL126" s="700"/>
      <c r="BM126" s="732" t="e">
        <f>IF(#REF!&gt;0,#REF!,"")</f>
        <v>#REF!</v>
      </c>
      <c r="BN126" s="732" t="e">
        <f>IF(#REF!&lt;&gt;"",#REF!,"")</f>
        <v>#REF!</v>
      </c>
      <c r="BO126" s="723" t="str">
        <f t="shared" si="35"/>
        <v/>
      </c>
      <c r="BP126" s="734" t="str">
        <f t="shared" si="36"/>
        <v/>
      </c>
      <c r="BQ126" s="736" t="str">
        <f>IF(L9&lt;&gt;"",#REF!,"")</f>
        <v/>
      </c>
      <c r="BR126" s="737" t="str">
        <f t="shared" si="37"/>
        <v/>
      </c>
      <c r="BS126" s="737" t="str">
        <f>IF(L9&lt;&gt;"",#REF!,"")</f>
        <v/>
      </c>
      <c r="BT126" s="738" t="str">
        <f t="shared" si="38"/>
        <v/>
      </c>
      <c r="BU126" s="730" t="e">
        <f t="shared" ref="BU126:BU189" si="43">IF(AND(BK126&lt;&gt;"",BM126&gt;0),(N(BM126))*BQ126-BS126,"")</f>
        <v>#REF!</v>
      </c>
    </row>
    <row r="127" spans="41:73" ht="24.95" customHeight="1">
      <c r="AO127" s="488" t="str">
        <f t="shared" si="39"/>
        <v/>
      </c>
      <c r="AP127" s="732" t="str">
        <f t="shared" si="28"/>
        <v/>
      </c>
      <c r="AQ127" s="732"/>
      <c r="AR127" s="487"/>
      <c r="AS127" s="720" t="str">
        <f t="shared" si="29"/>
        <v/>
      </c>
      <c r="AT127" s="700"/>
      <c r="AU127" s="733" t="e">
        <f>IF(#REF!&gt;0,#REF!,"")</f>
        <v>#REF!</v>
      </c>
      <c r="AV127" s="733" t="e">
        <f>IF(#REF!&lt;&gt;"",#REF!,"")</f>
        <v>#REF!</v>
      </c>
      <c r="AW127" s="723" t="str">
        <f t="shared" si="30"/>
        <v/>
      </c>
      <c r="AX127" s="734" t="str">
        <f t="shared" si="31"/>
        <v/>
      </c>
      <c r="AY127" s="727" t="str">
        <f>IF(L10&lt;&gt;"",#REF!,"")</f>
        <v/>
      </c>
      <c r="AZ127" s="735" t="str">
        <f t="shared" si="40"/>
        <v/>
      </c>
      <c r="BA127" s="727" t="str">
        <f>IF(L10&lt;&gt;"",#REF!,"")</f>
        <v/>
      </c>
      <c r="BB127" s="735" t="str">
        <f t="shared" si="32"/>
        <v/>
      </c>
      <c r="BC127" s="728" t="e">
        <f t="shared" si="41"/>
        <v>#REF!</v>
      </c>
      <c r="BD127" s="717"/>
      <c r="BG127" s="732" t="str">
        <f t="shared" si="42"/>
        <v/>
      </c>
      <c r="BH127" s="487" t="str">
        <f t="shared" si="33"/>
        <v/>
      </c>
      <c r="BI127" s="487"/>
      <c r="BJ127" s="487"/>
      <c r="BK127" s="720" t="str">
        <f t="shared" si="34"/>
        <v/>
      </c>
      <c r="BL127" s="700"/>
      <c r="BM127" s="732" t="e">
        <f>IF(#REF!&gt;0,#REF!,"")</f>
        <v>#REF!</v>
      </c>
      <c r="BN127" s="732" t="e">
        <f>IF(#REF!&lt;&gt;"",#REF!,"")</f>
        <v>#REF!</v>
      </c>
      <c r="BO127" s="723" t="str">
        <f t="shared" si="35"/>
        <v/>
      </c>
      <c r="BP127" s="734" t="str">
        <f t="shared" si="36"/>
        <v/>
      </c>
      <c r="BQ127" s="736" t="str">
        <f>IF(L10&lt;&gt;"",#REF!,"")</f>
        <v/>
      </c>
      <c r="BR127" s="737" t="str">
        <f t="shared" si="37"/>
        <v/>
      </c>
      <c r="BS127" s="737" t="str">
        <f>IF(L10&lt;&gt;"",#REF!,"")</f>
        <v/>
      </c>
      <c r="BT127" s="738" t="str">
        <f t="shared" si="38"/>
        <v/>
      </c>
      <c r="BU127" s="730" t="e">
        <f t="shared" si="43"/>
        <v>#REF!</v>
      </c>
    </row>
    <row r="128" spans="41:73" ht="24.95" customHeight="1">
      <c r="AO128" s="488" t="str">
        <f t="shared" si="39"/>
        <v/>
      </c>
      <c r="AP128" s="732" t="str">
        <f t="shared" si="28"/>
        <v/>
      </c>
      <c r="AQ128" s="732"/>
      <c r="AR128" s="487"/>
      <c r="AS128" s="720" t="str">
        <f t="shared" si="29"/>
        <v/>
      </c>
      <c r="AT128" s="700"/>
      <c r="AU128" s="733" t="e">
        <f>IF(#REF!&gt;0,#REF!,"")</f>
        <v>#REF!</v>
      </c>
      <c r="AV128" s="733" t="e">
        <f>IF(#REF!&lt;&gt;"",#REF!,"")</f>
        <v>#REF!</v>
      </c>
      <c r="AW128" s="723" t="str">
        <f t="shared" si="30"/>
        <v/>
      </c>
      <c r="AX128" s="734" t="str">
        <f t="shared" si="31"/>
        <v/>
      </c>
      <c r="AY128" s="727" t="str">
        <f>IF(L11&lt;&gt;"",#REF!,"")</f>
        <v/>
      </c>
      <c r="AZ128" s="735" t="str">
        <f t="shared" si="40"/>
        <v/>
      </c>
      <c r="BA128" s="727" t="str">
        <f>IF(L11&lt;&gt;"",#REF!,"")</f>
        <v/>
      </c>
      <c r="BB128" s="735" t="str">
        <f t="shared" si="32"/>
        <v/>
      </c>
      <c r="BC128" s="728" t="e">
        <f t="shared" si="41"/>
        <v>#REF!</v>
      </c>
      <c r="BD128" s="717"/>
      <c r="BG128" s="732" t="str">
        <f t="shared" si="42"/>
        <v/>
      </c>
      <c r="BH128" s="487" t="str">
        <f t="shared" si="33"/>
        <v/>
      </c>
      <c r="BI128" s="487"/>
      <c r="BJ128" s="487"/>
      <c r="BK128" s="720" t="str">
        <f t="shared" si="34"/>
        <v/>
      </c>
      <c r="BL128" s="700"/>
      <c r="BM128" s="732" t="e">
        <f>IF(#REF!&gt;0,#REF!,"")</f>
        <v>#REF!</v>
      </c>
      <c r="BN128" s="732" t="e">
        <f>IF(#REF!&lt;&gt;"",#REF!,"")</f>
        <v>#REF!</v>
      </c>
      <c r="BO128" s="723" t="str">
        <f t="shared" si="35"/>
        <v/>
      </c>
      <c r="BP128" s="734" t="str">
        <f t="shared" si="36"/>
        <v/>
      </c>
      <c r="BQ128" s="736" t="str">
        <f>IF(L11&lt;&gt;"",#REF!,"")</f>
        <v/>
      </c>
      <c r="BR128" s="737" t="str">
        <f t="shared" si="37"/>
        <v/>
      </c>
      <c r="BS128" s="737" t="str">
        <f>IF(L11&lt;&gt;"",#REF!,"")</f>
        <v/>
      </c>
      <c r="BT128" s="738" t="str">
        <f t="shared" si="38"/>
        <v/>
      </c>
      <c r="BU128" s="730" t="e">
        <f t="shared" si="43"/>
        <v>#REF!</v>
      </c>
    </row>
    <row r="129" spans="41:73" ht="24.95" customHeight="1">
      <c r="AO129" s="488" t="str">
        <f t="shared" si="39"/>
        <v/>
      </c>
      <c r="AP129" s="732" t="str">
        <f t="shared" si="28"/>
        <v/>
      </c>
      <c r="AQ129" s="732"/>
      <c r="AR129" s="487"/>
      <c r="AS129" s="720" t="str">
        <f t="shared" si="29"/>
        <v/>
      </c>
      <c r="AT129" s="700"/>
      <c r="AU129" s="733" t="e">
        <f>IF(#REF!&gt;0,#REF!,"")</f>
        <v>#REF!</v>
      </c>
      <c r="AV129" s="733" t="e">
        <f>IF(#REF!&lt;&gt;"",#REF!,"")</f>
        <v>#REF!</v>
      </c>
      <c r="AW129" s="723" t="str">
        <f t="shared" si="30"/>
        <v/>
      </c>
      <c r="AX129" s="734" t="str">
        <f t="shared" si="31"/>
        <v/>
      </c>
      <c r="AY129" s="727" t="str">
        <f>IF(L12&lt;&gt;"",#REF!,"")</f>
        <v/>
      </c>
      <c r="AZ129" s="735" t="str">
        <f t="shared" si="40"/>
        <v/>
      </c>
      <c r="BA129" s="727" t="str">
        <f>IF(L12&lt;&gt;"",#REF!,"")</f>
        <v/>
      </c>
      <c r="BB129" s="735" t="str">
        <f t="shared" si="32"/>
        <v/>
      </c>
      <c r="BC129" s="728" t="e">
        <f t="shared" si="41"/>
        <v>#REF!</v>
      </c>
      <c r="BD129" s="717"/>
      <c r="BG129" s="732" t="str">
        <f t="shared" si="42"/>
        <v/>
      </c>
      <c r="BH129" s="487" t="str">
        <f t="shared" si="33"/>
        <v/>
      </c>
      <c r="BI129" s="487"/>
      <c r="BJ129" s="487"/>
      <c r="BK129" s="720" t="str">
        <f t="shared" si="34"/>
        <v/>
      </c>
      <c r="BL129" s="700"/>
      <c r="BM129" s="732" t="e">
        <f>IF(#REF!&gt;0,#REF!,"")</f>
        <v>#REF!</v>
      </c>
      <c r="BN129" s="732" t="e">
        <f>IF(#REF!&lt;&gt;"",#REF!,"")</f>
        <v>#REF!</v>
      </c>
      <c r="BO129" s="723" t="str">
        <f t="shared" si="35"/>
        <v/>
      </c>
      <c r="BP129" s="734" t="str">
        <f t="shared" si="36"/>
        <v/>
      </c>
      <c r="BQ129" s="736" t="str">
        <f>IF(L12&lt;&gt;"",#REF!,"")</f>
        <v/>
      </c>
      <c r="BR129" s="737" t="str">
        <f t="shared" si="37"/>
        <v/>
      </c>
      <c r="BS129" s="737" t="str">
        <f>IF(L12&lt;&gt;"",#REF!,"")</f>
        <v/>
      </c>
      <c r="BT129" s="738" t="str">
        <f t="shared" si="38"/>
        <v/>
      </c>
      <c r="BU129" s="730" t="e">
        <f t="shared" si="43"/>
        <v>#REF!</v>
      </c>
    </row>
    <row r="130" spans="41:73" ht="24.95" customHeight="1">
      <c r="AO130" s="488" t="str">
        <f t="shared" si="39"/>
        <v/>
      </c>
      <c r="AP130" s="732" t="str">
        <f t="shared" si="28"/>
        <v/>
      </c>
      <c r="AQ130" s="732"/>
      <c r="AR130" s="487"/>
      <c r="AS130" s="720" t="str">
        <f t="shared" si="29"/>
        <v/>
      </c>
      <c r="AT130" s="700"/>
      <c r="AU130" s="733" t="e">
        <f>IF(#REF!&gt;0,#REF!,"")</f>
        <v>#REF!</v>
      </c>
      <c r="AV130" s="733" t="e">
        <f>IF(#REF!&lt;&gt;"",#REF!,"")</f>
        <v>#REF!</v>
      </c>
      <c r="AW130" s="723" t="str">
        <f t="shared" si="30"/>
        <v/>
      </c>
      <c r="AX130" s="734" t="str">
        <f t="shared" si="31"/>
        <v/>
      </c>
      <c r="AY130" s="727" t="str">
        <f>IF(L13&lt;&gt;"",#REF!,"")</f>
        <v/>
      </c>
      <c r="AZ130" s="735" t="str">
        <f t="shared" si="40"/>
        <v/>
      </c>
      <c r="BA130" s="727" t="str">
        <f>IF(L13&lt;&gt;"",#REF!,"")</f>
        <v/>
      </c>
      <c r="BB130" s="735" t="str">
        <f t="shared" si="32"/>
        <v/>
      </c>
      <c r="BC130" s="728" t="e">
        <f t="shared" si="41"/>
        <v>#REF!</v>
      </c>
      <c r="BD130" s="717"/>
      <c r="BG130" s="732" t="str">
        <f t="shared" si="42"/>
        <v/>
      </c>
      <c r="BH130" s="487" t="str">
        <f t="shared" si="33"/>
        <v/>
      </c>
      <c r="BI130" s="487"/>
      <c r="BJ130" s="487"/>
      <c r="BK130" s="720" t="str">
        <f t="shared" si="34"/>
        <v/>
      </c>
      <c r="BL130" s="700"/>
      <c r="BM130" s="732" t="e">
        <f>IF(#REF!&gt;0,#REF!,"")</f>
        <v>#REF!</v>
      </c>
      <c r="BN130" s="732" t="e">
        <f>IF(#REF!&lt;&gt;"",#REF!,"")</f>
        <v>#REF!</v>
      </c>
      <c r="BO130" s="723" t="str">
        <f t="shared" si="35"/>
        <v/>
      </c>
      <c r="BP130" s="734" t="str">
        <f t="shared" si="36"/>
        <v/>
      </c>
      <c r="BQ130" s="736" t="str">
        <f>IF(L13&lt;&gt;"",#REF!,"")</f>
        <v/>
      </c>
      <c r="BR130" s="737" t="str">
        <f t="shared" si="37"/>
        <v/>
      </c>
      <c r="BS130" s="737" t="str">
        <f>IF(L13&lt;&gt;"",#REF!,"")</f>
        <v/>
      </c>
      <c r="BT130" s="738" t="str">
        <f t="shared" si="38"/>
        <v/>
      </c>
      <c r="BU130" s="730" t="e">
        <f t="shared" si="43"/>
        <v>#REF!</v>
      </c>
    </row>
    <row r="131" spans="41:73" ht="24.95" customHeight="1">
      <c r="AO131" s="488" t="str">
        <f t="shared" si="39"/>
        <v/>
      </c>
      <c r="AP131" s="732" t="str">
        <f t="shared" si="28"/>
        <v/>
      </c>
      <c r="AQ131" s="732"/>
      <c r="AR131" s="487"/>
      <c r="AS131" s="720" t="str">
        <f t="shared" si="29"/>
        <v/>
      </c>
      <c r="AT131" s="700"/>
      <c r="AU131" s="733" t="e">
        <f>IF(#REF!&gt;0,#REF!,"")</f>
        <v>#REF!</v>
      </c>
      <c r="AV131" s="733" t="e">
        <f>IF(#REF!&lt;&gt;"",#REF!,"")</f>
        <v>#REF!</v>
      </c>
      <c r="AW131" s="723" t="str">
        <f t="shared" si="30"/>
        <v/>
      </c>
      <c r="AX131" s="734" t="str">
        <f t="shared" si="31"/>
        <v/>
      </c>
      <c r="AY131" s="727" t="str">
        <f>IF(L14&lt;&gt;"",#REF!,"")</f>
        <v/>
      </c>
      <c r="AZ131" s="735" t="str">
        <f t="shared" si="40"/>
        <v/>
      </c>
      <c r="BA131" s="727" t="str">
        <f>IF(L14&lt;&gt;"",#REF!,"")</f>
        <v/>
      </c>
      <c r="BB131" s="735" t="str">
        <f t="shared" si="32"/>
        <v/>
      </c>
      <c r="BC131" s="728" t="e">
        <f t="shared" si="41"/>
        <v>#REF!</v>
      </c>
      <c r="BD131" s="717"/>
      <c r="BG131" s="732" t="str">
        <f t="shared" si="42"/>
        <v/>
      </c>
      <c r="BH131" s="487" t="str">
        <f t="shared" si="33"/>
        <v/>
      </c>
      <c r="BI131" s="487"/>
      <c r="BJ131" s="487"/>
      <c r="BK131" s="720" t="str">
        <f t="shared" si="34"/>
        <v/>
      </c>
      <c r="BL131" s="700"/>
      <c r="BM131" s="732" t="e">
        <f>IF(#REF!&gt;0,#REF!,"")</f>
        <v>#REF!</v>
      </c>
      <c r="BN131" s="732" t="e">
        <f>IF(#REF!&lt;&gt;"",#REF!,"")</f>
        <v>#REF!</v>
      </c>
      <c r="BO131" s="723" t="str">
        <f t="shared" si="35"/>
        <v/>
      </c>
      <c r="BP131" s="734" t="str">
        <f t="shared" si="36"/>
        <v/>
      </c>
      <c r="BQ131" s="736" t="str">
        <f>IF(L14&lt;&gt;"",#REF!,"")</f>
        <v/>
      </c>
      <c r="BR131" s="737" t="str">
        <f t="shared" si="37"/>
        <v/>
      </c>
      <c r="BS131" s="737" t="str">
        <f>IF(L14&lt;&gt;"",#REF!,"")</f>
        <v/>
      </c>
      <c r="BT131" s="738" t="str">
        <f t="shared" si="38"/>
        <v/>
      </c>
      <c r="BU131" s="730" t="e">
        <f t="shared" si="43"/>
        <v>#REF!</v>
      </c>
    </row>
    <row r="132" spans="41:73" ht="24.95" customHeight="1">
      <c r="AO132" s="488" t="str">
        <f t="shared" si="39"/>
        <v/>
      </c>
      <c r="AP132" s="732" t="str">
        <f t="shared" si="28"/>
        <v/>
      </c>
      <c r="AQ132" s="732"/>
      <c r="AR132" s="487"/>
      <c r="AS132" s="720" t="str">
        <f t="shared" si="29"/>
        <v/>
      </c>
      <c r="AT132" s="700"/>
      <c r="AU132" s="733" t="e">
        <f>IF(#REF!&gt;0,#REF!,"")</f>
        <v>#REF!</v>
      </c>
      <c r="AV132" s="733" t="e">
        <f>IF(#REF!&lt;&gt;"",#REF!,"")</f>
        <v>#REF!</v>
      </c>
      <c r="AW132" s="723" t="str">
        <f t="shared" si="30"/>
        <v/>
      </c>
      <c r="AX132" s="734" t="str">
        <f t="shared" si="31"/>
        <v/>
      </c>
      <c r="AY132" s="727" t="str">
        <f>IF(L15&lt;&gt;"",#REF!,"")</f>
        <v/>
      </c>
      <c r="AZ132" s="735" t="str">
        <f t="shared" si="40"/>
        <v/>
      </c>
      <c r="BA132" s="727" t="str">
        <f>IF(L15&lt;&gt;"",#REF!,"")</f>
        <v/>
      </c>
      <c r="BB132" s="735" t="str">
        <f t="shared" si="32"/>
        <v/>
      </c>
      <c r="BC132" s="728" t="e">
        <f t="shared" si="41"/>
        <v>#REF!</v>
      </c>
      <c r="BD132" s="717"/>
      <c r="BG132" s="732" t="str">
        <f t="shared" si="42"/>
        <v/>
      </c>
      <c r="BH132" s="487" t="str">
        <f t="shared" si="33"/>
        <v/>
      </c>
      <c r="BI132" s="487"/>
      <c r="BJ132" s="487"/>
      <c r="BK132" s="720" t="str">
        <f t="shared" si="34"/>
        <v/>
      </c>
      <c r="BL132" s="700"/>
      <c r="BM132" s="732" t="e">
        <f>IF(#REF!&gt;0,#REF!,"")</f>
        <v>#REF!</v>
      </c>
      <c r="BN132" s="732" t="e">
        <f>IF(#REF!&lt;&gt;"",#REF!,"")</f>
        <v>#REF!</v>
      </c>
      <c r="BO132" s="723" t="str">
        <f t="shared" si="35"/>
        <v/>
      </c>
      <c r="BP132" s="734" t="str">
        <f t="shared" si="36"/>
        <v/>
      </c>
      <c r="BQ132" s="736" t="str">
        <f>IF(L15&lt;&gt;"",#REF!,"")</f>
        <v/>
      </c>
      <c r="BR132" s="737" t="str">
        <f t="shared" si="37"/>
        <v/>
      </c>
      <c r="BS132" s="737" t="str">
        <f>IF(L15&lt;&gt;"",#REF!,"")</f>
        <v/>
      </c>
      <c r="BT132" s="738" t="str">
        <f t="shared" si="38"/>
        <v/>
      </c>
      <c r="BU132" s="730" t="e">
        <f t="shared" si="43"/>
        <v>#REF!</v>
      </c>
    </row>
    <row r="133" spans="41:73" ht="24.95" customHeight="1">
      <c r="AO133" s="488" t="str">
        <f t="shared" si="39"/>
        <v/>
      </c>
      <c r="AP133" s="732" t="str">
        <f t="shared" si="28"/>
        <v/>
      </c>
      <c r="AQ133" s="732"/>
      <c r="AR133" s="487"/>
      <c r="AS133" s="720" t="str">
        <f t="shared" si="29"/>
        <v/>
      </c>
      <c r="AT133" s="700"/>
      <c r="AU133" s="733" t="e">
        <f>IF(#REF!&gt;0,#REF!,"")</f>
        <v>#REF!</v>
      </c>
      <c r="AV133" s="733" t="e">
        <f>IF(#REF!&lt;&gt;"",#REF!,"")</f>
        <v>#REF!</v>
      </c>
      <c r="AW133" s="723" t="str">
        <f t="shared" si="30"/>
        <v/>
      </c>
      <c r="AX133" s="734" t="str">
        <f t="shared" si="31"/>
        <v/>
      </c>
      <c r="AY133" s="727" t="str">
        <f>IF(L16&lt;&gt;"",#REF!,"")</f>
        <v/>
      </c>
      <c r="AZ133" s="735" t="str">
        <f t="shared" si="40"/>
        <v/>
      </c>
      <c r="BA133" s="727" t="str">
        <f>IF(L16&lt;&gt;"",#REF!,"")</f>
        <v/>
      </c>
      <c r="BB133" s="735" t="str">
        <f t="shared" si="32"/>
        <v/>
      </c>
      <c r="BC133" s="728" t="e">
        <f t="shared" si="41"/>
        <v>#REF!</v>
      </c>
      <c r="BD133" s="717"/>
      <c r="BG133" s="732" t="str">
        <f t="shared" si="42"/>
        <v/>
      </c>
      <c r="BH133" s="487" t="str">
        <f t="shared" si="33"/>
        <v/>
      </c>
      <c r="BI133" s="487"/>
      <c r="BJ133" s="487"/>
      <c r="BK133" s="720" t="str">
        <f t="shared" si="34"/>
        <v/>
      </c>
      <c r="BL133" s="700"/>
      <c r="BM133" s="732" t="e">
        <f>IF(#REF!&gt;0,#REF!,"")</f>
        <v>#REF!</v>
      </c>
      <c r="BN133" s="732" t="e">
        <f>IF(#REF!&lt;&gt;"",#REF!,"")</f>
        <v>#REF!</v>
      </c>
      <c r="BO133" s="723" t="str">
        <f t="shared" si="35"/>
        <v/>
      </c>
      <c r="BP133" s="734" t="str">
        <f t="shared" si="36"/>
        <v/>
      </c>
      <c r="BQ133" s="736" t="str">
        <f>IF(L16&lt;&gt;"",#REF!,"")</f>
        <v/>
      </c>
      <c r="BR133" s="737" t="str">
        <f t="shared" si="37"/>
        <v/>
      </c>
      <c r="BS133" s="737" t="str">
        <f>IF(L16&lt;&gt;"",#REF!,"")</f>
        <v/>
      </c>
      <c r="BT133" s="738" t="str">
        <f t="shared" si="38"/>
        <v/>
      </c>
      <c r="BU133" s="730" t="e">
        <f t="shared" si="43"/>
        <v>#REF!</v>
      </c>
    </row>
    <row r="134" spans="41:73" ht="24.95" customHeight="1">
      <c r="AO134" s="488" t="str">
        <f t="shared" si="39"/>
        <v/>
      </c>
      <c r="AP134" s="732" t="str">
        <f t="shared" si="28"/>
        <v/>
      </c>
      <c r="AQ134" s="732"/>
      <c r="AR134" s="487"/>
      <c r="AS134" s="720" t="str">
        <f t="shared" si="29"/>
        <v/>
      </c>
      <c r="AT134" s="700"/>
      <c r="AU134" s="733" t="e">
        <f>IF(#REF!&gt;0,#REF!,"")</f>
        <v>#REF!</v>
      </c>
      <c r="AV134" s="733" t="e">
        <f>IF(#REF!&lt;&gt;"",#REF!,"")</f>
        <v>#REF!</v>
      </c>
      <c r="AW134" s="723" t="str">
        <f t="shared" si="30"/>
        <v/>
      </c>
      <c r="AX134" s="734" t="str">
        <f t="shared" si="31"/>
        <v/>
      </c>
      <c r="AY134" s="727" t="str">
        <f>IF(L17&lt;&gt;"",#REF!,"")</f>
        <v/>
      </c>
      <c r="AZ134" s="735" t="str">
        <f t="shared" si="40"/>
        <v/>
      </c>
      <c r="BA134" s="727" t="str">
        <f>IF(L17&lt;&gt;"",#REF!,"")</f>
        <v/>
      </c>
      <c r="BB134" s="735" t="str">
        <f t="shared" si="32"/>
        <v/>
      </c>
      <c r="BC134" s="728" t="e">
        <f t="shared" si="41"/>
        <v>#REF!</v>
      </c>
      <c r="BD134" s="717"/>
      <c r="BG134" s="732" t="str">
        <f t="shared" si="42"/>
        <v/>
      </c>
      <c r="BH134" s="487" t="str">
        <f t="shared" si="33"/>
        <v/>
      </c>
      <c r="BI134" s="487"/>
      <c r="BJ134" s="487"/>
      <c r="BK134" s="720" t="str">
        <f t="shared" si="34"/>
        <v/>
      </c>
      <c r="BL134" s="700"/>
      <c r="BM134" s="732" t="e">
        <f>IF(#REF!&gt;0,#REF!,"")</f>
        <v>#REF!</v>
      </c>
      <c r="BN134" s="732" t="e">
        <f>IF(#REF!&lt;&gt;"",#REF!,"")</f>
        <v>#REF!</v>
      </c>
      <c r="BO134" s="723" t="str">
        <f t="shared" si="35"/>
        <v/>
      </c>
      <c r="BP134" s="734" t="str">
        <f t="shared" si="36"/>
        <v/>
      </c>
      <c r="BQ134" s="736" t="str">
        <f>IF(L17&lt;&gt;"",#REF!,"")</f>
        <v/>
      </c>
      <c r="BR134" s="737" t="str">
        <f t="shared" si="37"/>
        <v/>
      </c>
      <c r="BS134" s="737" t="str">
        <f>IF(L17&lt;&gt;"",#REF!,"")</f>
        <v/>
      </c>
      <c r="BT134" s="738" t="str">
        <f t="shared" si="38"/>
        <v/>
      </c>
      <c r="BU134" s="730" t="e">
        <f t="shared" si="43"/>
        <v>#REF!</v>
      </c>
    </row>
    <row r="135" spans="41:73" ht="24.95" customHeight="1">
      <c r="AO135" s="488" t="str">
        <f t="shared" si="39"/>
        <v/>
      </c>
      <c r="AP135" s="732" t="str">
        <f t="shared" si="28"/>
        <v/>
      </c>
      <c r="AQ135" s="732"/>
      <c r="AR135" s="487"/>
      <c r="AS135" s="720" t="str">
        <f t="shared" si="29"/>
        <v/>
      </c>
      <c r="AT135" s="700"/>
      <c r="AU135" s="733" t="e">
        <f>IF(#REF!&gt;0,#REF!,"")</f>
        <v>#REF!</v>
      </c>
      <c r="AV135" s="733" t="e">
        <f>IF(#REF!&lt;&gt;"",#REF!,"")</f>
        <v>#REF!</v>
      </c>
      <c r="AW135" s="723" t="str">
        <f t="shared" si="30"/>
        <v/>
      </c>
      <c r="AX135" s="734" t="str">
        <f t="shared" si="31"/>
        <v/>
      </c>
      <c r="AY135" s="727" t="str">
        <f>IF(L18&lt;&gt;"",#REF!,"")</f>
        <v/>
      </c>
      <c r="AZ135" s="735" t="str">
        <f t="shared" si="40"/>
        <v/>
      </c>
      <c r="BA135" s="727" t="str">
        <f>IF(L18&lt;&gt;"",#REF!,"")</f>
        <v/>
      </c>
      <c r="BB135" s="735" t="str">
        <f t="shared" si="32"/>
        <v/>
      </c>
      <c r="BC135" s="728" t="e">
        <f t="shared" si="41"/>
        <v>#REF!</v>
      </c>
      <c r="BD135" s="717"/>
      <c r="BG135" s="732" t="str">
        <f t="shared" si="42"/>
        <v/>
      </c>
      <c r="BH135" s="487" t="str">
        <f t="shared" si="33"/>
        <v/>
      </c>
      <c r="BI135" s="487"/>
      <c r="BJ135" s="487"/>
      <c r="BK135" s="720" t="str">
        <f t="shared" si="34"/>
        <v/>
      </c>
      <c r="BL135" s="700"/>
      <c r="BM135" s="732" t="e">
        <f>IF(#REF!&gt;0,#REF!,"")</f>
        <v>#REF!</v>
      </c>
      <c r="BN135" s="732" t="e">
        <f>IF(#REF!&lt;&gt;"",#REF!,"")</f>
        <v>#REF!</v>
      </c>
      <c r="BO135" s="723" t="str">
        <f t="shared" si="35"/>
        <v/>
      </c>
      <c r="BP135" s="734" t="str">
        <f t="shared" si="36"/>
        <v/>
      </c>
      <c r="BQ135" s="736" t="str">
        <f>IF(L18&lt;&gt;"",#REF!,"")</f>
        <v/>
      </c>
      <c r="BR135" s="737" t="str">
        <f t="shared" si="37"/>
        <v/>
      </c>
      <c r="BS135" s="737" t="str">
        <f>IF(L18&lt;&gt;"",#REF!,"")</f>
        <v/>
      </c>
      <c r="BT135" s="738" t="str">
        <f t="shared" si="38"/>
        <v/>
      </c>
      <c r="BU135" s="730" t="e">
        <f t="shared" si="43"/>
        <v>#REF!</v>
      </c>
    </row>
    <row r="136" spans="41:73" ht="24.95" customHeight="1">
      <c r="AO136" s="488" t="str">
        <f t="shared" si="39"/>
        <v/>
      </c>
      <c r="AP136" s="732" t="str">
        <f t="shared" si="28"/>
        <v/>
      </c>
      <c r="AQ136" s="732"/>
      <c r="AR136" s="487"/>
      <c r="AS136" s="720" t="str">
        <f t="shared" si="29"/>
        <v/>
      </c>
      <c r="AT136" s="700"/>
      <c r="AU136" s="733" t="e">
        <f>IF(#REF!&gt;0,#REF!,"")</f>
        <v>#REF!</v>
      </c>
      <c r="AV136" s="733" t="e">
        <f>IF(#REF!&lt;&gt;"",#REF!,"")</f>
        <v>#REF!</v>
      </c>
      <c r="AW136" s="723" t="str">
        <f t="shared" si="30"/>
        <v/>
      </c>
      <c r="AX136" s="734" t="str">
        <f t="shared" si="31"/>
        <v/>
      </c>
      <c r="AY136" s="727" t="str">
        <f>IF(L19&lt;&gt;"",#REF!,"")</f>
        <v/>
      </c>
      <c r="AZ136" s="735" t="str">
        <f t="shared" si="40"/>
        <v/>
      </c>
      <c r="BA136" s="727" t="str">
        <f>IF(L19&lt;&gt;"",#REF!,"")</f>
        <v/>
      </c>
      <c r="BB136" s="735" t="str">
        <f t="shared" si="32"/>
        <v/>
      </c>
      <c r="BC136" s="728" t="e">
        <f t="shared" si="41"/>
        <v>#REF!</v>
      </c>
      <c r="BD136" s="717"/>
      <c r="BG136" s="732" t="str">
        <f t="shared" si="42"/>
        <v/>
      </c>
      <c r="BH136" s="487" t="str">
        <f t="shared" si="33"/>
        <v/>
      </c>
      <c r="BI136" s="487"/>
      <c r="BJ136" s="487"/>
      <c r="BK136" s="720" t="str">
        <f t="shared" si="34"/>
        <v/>
      </c>
      <c r="BL136" s="700"/>
      <c r="BM136" s="732" t="e">
        <f>IF(#REF!&gt;0,#REF!,"")</f>
        <v>#REF!</v>
      </c>
      <c r="BN136" s="732" t="e">
        <f>IF(#REF!&lt;&gt;"",#REF!,"")</f>
        <v>#REF!</v>
      </c>
      <c r="BO136" s="723" t="str">
        <f t="shared" si="35"/>
        <v/>
      </c>
      <c r="BP136" s="734" t="str">
        <f t="shared" si="36"/>
        <v/>
      </c>
      <c r="BQ136" s="736" t="str">
        <f>IF(L19&lt;&gt;"",#REF!,"")</f>
        <v/>
      </c>
      <c r="BR136" s="737" t="str">
        <f t="shared" si="37"/>
        <v/>
      </c>
      <c r="BS136" s="737" t="str">
        <f>IF(L19&lt;&gt;"",#REF!,"")</f>
        <v/>
      </c>
      <c r="BT136" s="738" t="str">
        <f t="shared" si="38"/>
        <v/>
      </c>
      <c r="BU136" s="730" t="e">
        <f t="shared" si="43"/>
        <v>#REF!</v>
      </c>
    </row>
    <row r="137" spans="41:73" ht="24.95" customHeight="1">
      <c r="AO137" s="488" t="str">
        <f t="shared" si="39"/>
        <v/>
      </c>
      <c r="AP137" s="732" t="str">
        <f t="shared" si="28"/>
        <v/>
      </c>
      <c r="AQ137" s="732"/>
      <c r="AR137" s="487"/>
      <c r="AS137" s="720" t="str">
        <f t="shared" si="29"/>
        <v/>
      </c>
      <c r="AT137" s="700"/>
      <c r="AU137" s="733" t="e">
        <f>IF(#REF!&gt;0,#REF!,"")</f>
        <v>#REF!</v>
      </c>
      <c r="AV137" s="733" t="e">
        <f>IF(#REF!&lt;&gt;"",#REF!,"")</f>
        <v>#REF!</v>
      </c>
      <c r="AW137" s="723" t="str">
        <f t="shared" si="30"/>
        <v/>
      </c>
      <c r="AX137" s="734" t="str">
        <f t="shared" si="31"/>
        <v/>
      </c>
      <c r="AY137" s="727" t="str">
        <f>IF(L20&lt;&gt;"",#REF!,"")</f>
        <v/>
      </c>
      <c r="AZ137" s="735" t="str">
        <f t="shared" si="40"/>
        <v/>
      </c>
      <c r="BA137" s="727" t="str">
        <f>IF(L20&lt;&gt;"",#REF!,"")</f>
        <v/>
      </c>
      <c r="BB137" s="735" t="str">
        <f t="shared" si="32"/>
        <v/>
      </c>
      <c r="BC137" s="728" t="e">
        <f t="shared" si="41"/>
        <v>#REF!</v>
      </c>
      <c r="BD137" s="717"/>
      <c r="BG137" s="732" t="str">
        <f t="shared" si="42"/>
        <v/>
      </c>
      <c r="BH137" s="487" t="str">
        <f t="shared" si="33"/>
        <v/>
      </c>
      <c r="BI137" s="487"/>
      <c r="BJ137" s="487"/>
      <c r="BK137" s="720" t="str">
        <f t="shared" si="34"/>
        <v/>
      </c>
      <c r="BL137" s="700"/>
      <c r="BM137" s="732" t="e">
        <f>IF(#REF!&gt;0,#REF!,"")</f>
        <v>#REF!</v>
      </c>
      <c r="BN137" s="732" t="e">
        <f>IF(#REF!&lt;&gt;"",#REF!,"")</f>
        <v>#REF!</v>
      </c>
      <c r="BO137" s="723" t="str">
        <f t="shared" si="35"/>
        <v/>
      </c>
      <c r="BP137" s="734" t="str">
        <f t="shared" si="36"/>
        <v/>
      </c>
      <c r="BQ137" s="736" t="str">
        <f>IF(L20&lt;&gt;"",#REF!,"")</f>
        <v/>
      </c>
      <c r="BR137" s="737" t="str">
        <f t="shared" si="37"/>
        <v/>
      </c>
      <c r="BS137" s="737" t="str">
        <f>IF(L20&lt;&gt;"",#REF!,"")</f>
        <v/>
      </c>
      <c r="BT137" s="738" t="str">
        <f t="shared" si="38"/>
        <v/>
      </c>
      <c r="BU137" s="730" t="e">
        <f t="shared" si="43"/>
        <v>#REF!</v>
      </c>
    </row>
    <row r="138" spans="41:73" ht="24.95" customHeight="1">
      <c r="AO138" s="488" t="str">
        <f t="shared" si="39"/>
        <v/>
      </c>
      <c r="AP138" s="732" t="str">
        <f t="shared" si="28"/>
        <v/>
      </c>
      <c r="AQ138" s="732"/>
      <c r="AR138" s="487"/>
      <c r="AS138" s="720" t="str">
        <f t="shared" si="29"/>
        <v/>
      </c>
      <c r="AT138" s="700"/>
      <c r="AU138" s="733" t="e">
        <f>IF(#REF!&gt;0,#REF!,"")</f>
        <v>#REF!</v>
      </c>
      <c r="AV138" s="733" t="e">
        <f>IF(#REF!&lt;&gt;"",#REF!,"")</f>
        <v>#REF!</v>
      </c>
      <c r="AW138" s="723" t="str">
        <f t="shared" si="30"/>
        <v/>
      </c>
      <c r="AX138" s="734" t="str">
        <f t="shared" si="31"/>
        <v/>
      </c>
      <c r="AY138" s="727" t="str">
        <f>IF(L21&lt;&gt;"",#REF!,"")</f>
        <v/>
      </c>
      <c r="AZ138" s="735" t="str">
        <f t="shared" si="40"/>
        <v/>
      </c>
      <c r="BA138" s="727" t="str">
        <f>IF(L21&lt;&gt;"",#REF!,"")</f>
        <v/>
      </c>
      <c r="BB138" s="735" t="str">
        <f t="shared" si="32"/>
        <v/>
      </c>
      <c r="BC138" s="728" t="e">
        <f t="shared" si="41"/>
        <v>#REF!</v>
      </c>
      <c r="BD138" s="717"/>
      <c r="BG138" s="732" t="str">
        <f t="shared" si="42"/>
        <v/>
      </c>
      <c r="BH138" s="487" t="str">
        <f t="shared" si="33"/>
        <v/>
      </c>
      <c r="BI138" s="487"/>
      <c r="BJ138" s="487"/>
      <c r="BK138" s="720" t="str">
        <f t="shared" si="34"/>
        <v/>
      </c>
      <c r="BL138" s="700"/>
      <c r="BM138" s="732" t="e">
        <f>IF(#REF!&gt;0,#REF!,"")</f>
        <v>#REF!</v>
      </c>
      <c r="BN138" s="732" t="e">
        <f>IF(#REF!&lt;&gt;"",#REF!,"")</f>
        <v>#REF!</v>
      </c>
      <c r="BO138" s="723" t="str">
        <f t="shared" si="35"/>
        <v/>
      </c>
      <c r="BP138" s="734" t="str">
        <f t="shared" si="36"/>
        <v/>
      </c>
      <c r="BQ138" s="736" t="str">
        <f>IF(L21&lt;&gt;"",#REF!,"")</f>
        <v/>
      </c>
      <c r="BR138" s="737" t="str">
        <f t="shared" si="37"/>
        <v/>
      </c>
      <c r="BS138" s="737" t="str">
        <f>IF(L21&lt;&gt;"",#REF!,"")</f>
        <v/>
      </c>
      <c r="BT138" s="738" t="str">
        <f t="shared" si="38"/>
        <v/>
      </c>
      <c r="BU138" s="730" t="e">
        <f t="shared" si="43"/>
        <v>#REF!</v>
      </c>
    </row>
    <row r="139" spans="41:73" ht="24.95" hidden="1" customHeight="1">
      <c r="AO139" s="488" t="str">
        <f t="shared" si="39"/>
        <v/>
      </c>
      <c r="AP139" s="732" t="str">
        <f t="shared" si="28"/>
        <v/>
      </c>
      <c r="AQ139" s="732"/>
      <c r="AR139" s="487"/>
      <c r="AS139" s="720" t="str">
        <f t="shared" si="29"/>
        <v/>
      </c>
      <c r="AT139" s="700"/>
      <c r="AU139" s="733" t="e">
        <f>IF(#REF!&gt;0,#REF!,"")</f>
        <v>#REF!</v>
      </c>
      <c r="AV139" s="733" t="e">
        <f>IF(#REF!&lt;&gt;"",#REF!,"")</f>
        <v>#REF!</v>
      </c>
      <c r="AW139" s="723" t="str">
        <f t="shared" si="30"/>
        <v/>
      </c>
      <c r="AX139" s="734" t="str">
        <f t="shared" si="31"/>
        <v/>
      </c>
      <c r="AY139" s="727" t="str">
        <f>IF(L22&lt;&gt;"",#REF!,"")</f>
        <v/>
      </c>
      <c r="AZ139" s="735" t="str">
        <f t="shared" si="40"/>
        <v/>
      </c>
      <c r="BA139" s="727" t="str">
        <f>IF(L22&lt;&gt;"",#REF!,"")</f>
        <v/>
      </c>
      <c r="BB139" s="735" t="str">
        <f t="shared" si="32"/>
        <v/>
      </c>
      <c r="BC139" s="728" t="e">
        <f t="shared" si="41"/>
        <v>#REF!</v>
      </c>
      <c r="BD139" s="717"/>
      <c r="BG139" s="732" t="str">
        <f t="shared" si="42"/>
        <v/>
      </c>
      <c r="BH139" s="487" t="str">
        <f t="shared" si="33"/>
        <v/>
      </c>
      <c r="BI139" s="487"/>
      <c r="BJ139" s="487"/>
      <c r="BK139" s="720" t="str">
        <f t="shared" si="34"/>
        <v/>
      </c>
      <c r="BL139" s="700"/>
      <c r="BM139" s="732" t="e">
        <f>IF(#REF!&gt;0,#REF!,"")</f>
        <v>#REF!</v>
      </c>
      <c r="BN139" s="732" t="e">
        <f>IF(#REF!&lt;&gt;"",#REF!,"")</f>
        <v>#REF!</v>
      </c>
      <c r="BO139" s="723" t="str">
        <f t="shared" si="35"/>
        <v/>
      </c>
      <c r="BP139" s="734" t="str">
        <f t="shared" si="36"/>
        <v/>
      </c>
      <c r="BQ139" s="736" t="str">
        <f>IF(L22&lt;&gt;"",#REF!,"")</f>
        <v/>
      </c>
      <c r="BR139" s="737" t="str">
        <f t="shared" si="37"/>
        <v/>
      </c>
      <c r="BS139" s="737" t="str">
        <f>IF(L22&lt;&gt;"",#REF!,"")</f>
        <v/>
      </c>
      <c r="BT139" s="738" t="str">
        <f t="shared" si="38"/>
        <v/>
      </c>
      <c r="BU139" s="730" t="e">
        <f t="shared" si="43"/>
        <v>#REF!</v>
      </c>
    </row>
    <row r="140" spans="41:73" ht="24.95" hidden="1" customHeight="1">
      <c r="AO140" s="488" t="str">
        <f t="shared" si="39"/>
        <v/>
      </c>
      <c r="AP140" s="488" t="str">
        <f t="shared" si="28"/>
        <v/>
      </c>
      <c r="AQ140" s="488"/>
      <c r="AR140" s="739"/>
      <c r="AS140" s="720" t="str">
        <f t="shared" si="29"/>
        <v/>
      </c>
      <c r="AT140" s="275"/>
      <c r="AU140" s="489" t="e">
        <f>IF(#REF!&gt;0,#REF!,"")</f>
        <v>#REF!</v>
      </c>
      <c r="AV140" s="489" t="e">
        <f>IF(#REF!&lt;&gt;"",#REF!,"")</f>
        <v>#REF!</v>
      </c>
      <c r="AW140" s="723" t="str">
        <f t="shared" si="30"/>
        <v/>
      </c>
      <c r="AX140" s="741" t="str">
        <f t="shared" si="31"/>
        <v/>
      </c>
      <c r="AY140" s="742" t="str">
        <f>IF(L23&lt;&gt;"",#REF!,"")</f>
        <v/>
      </c>
      <c r="AZ140" s="743" t="str">
        <f t="shared" si="40"/>
        <v/>
      </c>
      <c r="BA140" s="742" t="str">
        <f>IF(L23&lt;&gt;"",#REF!,"")</f>
        <v/>
      </c>
      <c r="BB140" s="743" t="str">
        <f t="shared" si="32"/>
        <v/>
      </c>
      <c r="BC140" s="728" t="e">
        <f t="shared" si="41"/>
        <v>#REF!</v>
      </c>
      <c r="BD140" s="717"/>
      <c r="BG140" s="732" t="str">
        <f t="shared" si="42"/>
        <v/>
      </c>
      <c r="BH140" s="487" t="str">
        <f t="shared" si="33"/>
        <v/>
      </c>
      <c r="BI140" s="487"/>
      <c r="BJ140" s="487"/>
      <c r="BK140" s="720" t="str">
        <f t="shared" si="34"/>
        <v/>
      </c>
      <c r="BL140" s="700"/>
      <c r="BM140" s="732" t="e">
        <f>IF(#REF!&gt;0,#REF!,"")</f>
        <v>#REF!</v>
      </c>
      <c r="BN140" s="732" t="e">
        <f>IF(#REF!&lt;&gt;"",#REF!,"")</f>
        <v>#REF!</v>
      </c>
      <c r="BO140" s="723" t="str">
        <f t="shared" si="35"/>
        <v/>
      </c>
      <c r="BP140" s="734" t="str">
        <f t="shared" si="36"/>
        <v/>
      </c>
      <c r="BQ140" s="736" t="str">
        <f>IF(L23&lt;&gt;"",#REF!,"")</f>
        <v/>
      </c>
      <c r="BR140" s="737" t="str">
        <f t="shared" si="37"/>
        <v/>
      </c>
      <c r="BS140" s="737" t="str">
        <f>IF(L23&lt;&gt;"",#REF!,"")</f>
        <v/>
      </c>
      <c r="BT140" s="738" t="str">
        <f t="shared" si="38"/>
        <v/>
      </c>
      <c r="BU140" s="730" t="e">
        <f t="shared" si="43"/>
        <v>#REF!</v>
      </c>
    </row>
    <row r="141" spans="41:73" ht="24.95" hidden="1" customHeight="1">
      <c r="AO141" s="488" t="str">
        <f t="shared" si="39"/>
        <v/>
      </c>
      <c r="AP141" s="488" t="str">
        <f t="shared" si="28"/>
        <v/>
      </c>
      <c r="AQ141" s="488"/>
      <c r="AR141" s="739"/>
      <c r="AS141" s="720" t="str">
        <f t="shared" si="29"/>
        <v/>
      </c>
      <c r="AT141" s="275"/>
      <c r="AU141" s="489" t="e">
        <f>IF(#REF!&gt;0,#REF!,"")</f>
        <v>#REF!</v>
      </c>
      <c r="AV141" s="489" t="e">
        <f>IF(#REF!&lt;&gt;"",#REF!,"")</f>
        <v>#REF!</v>
      </c>
      <c r="AW141" s="723" t="str">
        <f t="shared" si="30"/>
        <v/>
      </c>
      <c r="AX141" s="741" t="str">
        <f t="shared" si="31"/>
        <v/>
      </c>
      <c r="AY141" s="742" t="str">
        <f>IF(L24&lt;&gt;"",#REF!,"")</f>
        <v/>
      </c>
      <c r="AZ141" s="743" t="str">
        <f t="shared" si="40"/>
        <v/>
      </c>
      <c r="BA141" s="742" t="str">
        <f>IF(L24&lt;&gt;"",#REF!,"")</f>
        <v/>
      </c>
      <c r="BB141" s="743" t="str">
        <f t="shared" si="32"/>
        <v/>
      </c>
      <c r="BC141" s="728" t="e">
        <f t="shared" si="41"/>
        <v>#REF!</v>
      </c>
      <c r="BD141" s="717"/>
      <c r="BG141" s="732" t="str">
        <f t="shared" si="42"/>
        <v/>
      </c>
      <c r="BH141" s="487" t="str">
        <f t="shared" si="33"/>
        <v/>
      </c>
      <c r="BI141" s="487"/>
      <c r="BJ141" s="487"/>
      <c r="BK141" s="720" t="str">
        <f t="shared" si="34"/>
        <v/>
      </c>
      <c r="BL141" s="700"/>
      <c r="BM141" s="732" t="e">
        <f>IF(#REF!&gt;0,#REF!,"")</f>
        <v>#REF!</v>
      </c>
      <c r="BN141" s="732" t="e">
        <f>IF(#REF!&lt;&gt;"",#REF!,"")</f>
        <v>#REF!</v>
      </c>
      <c r="BO141" s="723" t="str">
        <f t="shared" si="35"/>
        <v/>
      </c>
      <c r="BP141" s="734" t="str">
        <f t="shared" si="36"/>
        <v/>
      </c>
      <c r="BQ141" s="736" t="str">
        <f>IF(L24&lt;&gt;"",#REF!,"")</f>
        <v/>
      </c>
      <c r="BR141" s="737" t="str">
        <f t="shared" si="37"/>
        <v/>
      </c>
      <c r="BS141" s="737" t="str">
        <f>IF(L24&lt;&gt;"",#REF!,"")</f>
        <v/>
      </c>
      <c r="BT141" s="738" t="str">
        <f t="shared" si="38"/>
        <v/>
      </c>
      <c r="BU141" s="730" t="e">
        <f t="shared" si="43"/>
        <v>#REF!</v>
      </c>
    </row>
    <row r="142" spans="41:73" ht="24.95" hidden="1" customHeight="1">
      <c r="AO142" s="488" t="str">
        <f t="shared" si="39"/>
        <v/>
      </c>
      <c r="AP142" s="488" t="str">
        <f t="shared" si="28"/>
        <v/>
      </c>
      <c r="AQ142" s="488"/>
      <c r="AR142" s="739"/>
      <c r="AS142" s="720" t="str">
        <f t="shared" si="29"/>
        <v/>
      </c>
      <c r="AT142" s="275"/>
      <c r="AU142" s="489" t="e">
        <f>IF(#REF!&gt;0,#REF!,"")</f>
        <v>#REF!</v>
      </c>
      <c r="AV142" s="489" t="e">
        <f>IF(#REF!&lt;&gt;"",#REF!,"")</f>
        <v>#REF!</v>
      </c>
      <c r="AW142" s="723" t="str">
        <f t="shared" si="30"/>
        <v/>
      </c>
      <c r="AX142" s="741" t="str">
        <f t="shared" si="31"/>
        <v/>
      </c>
      <c r="AY142" s="742" t="str">
        <f>IF(L25&lt;&gt;"",#REF!,"")</f>
        <v/>
      </c>
      <c r="AZ142" s="743" t="str">
        <f t="shared" si="40"/>
        <v/>
      </c>
      <c r="BA142" s="742" t="str">
        <f>IF(L25&lt;&gt;"",#REF!,"")</f>
        <v/>
      </c>
      <c r="BB142" s="743" t="str">
        <f t="shared" si="32"/>
        <v/>
      </c>
      <c r="BC142" s="728" t="e">
        <f t="shared" si="41"/>
        <v>#REF!</v>
      </c>
      <c r="BD142" s="717"/>
      <c r="BG142" s="732" t="str">
        <f t="shared" si="42"/>
        <v/>
      </c>
      <c r="BH142" s="487" t="str">
        <f t="shared" si="33"/>
        <v/>
      </c>
      <c r="BI142" s="487"/>
      <c r="BJ142" s="487"/>
      <c r="BK142" s="720" t="str">
        <f t="shared" si="34"/>
        <v/>
      </c>
      <c r="BL142" s="700"/>
      <c r="BM142" s="732" t="e">
        <f>IF(#REF!&gt;0,#REF!,"")</f>
        <v>#REF!</v>
      </c>
      <c r="BN142" s="732" t="e">
        <f>IF(#REF!&lt;&gt;"",#REF!,"")</f>
        <v>#REF!</v>
      </c>
      <c r="BO142" s="723" t="str">
        <f t="shared" si="35"/>
        <v/>
      </c>
      <c r="BP142" s="734" t="str">
        <f t="shared" si="36"/>
        <v/>
      </c>
      <c r="BQ142" s="736" t="str">
        <f>IF(L25&lt;&gt;"",#REF!,"")</f>
        <v/>
      </c>
      <c r="BR142" s="737" t="str">
        <f t="shared" si="37"/>
        <v/>
      </c>
      <c r="BS142" s="737" t="str">
        <f>IF(L25&lt;&gt;"",#REF!,"")</f>
        <v/>
      </c>
      <c r="BT142" s="738" t="str">
        <f t="shared" si="38"/>
        <v/>
      </c>
      <c r="BU142" s="730" t="e">
        <f t="shared" si="43"/>
        <v>#REF!</v>
      </c>
    </row>
    <row r="143" spans="41:73" ht="24.95" hidden="1" customHeight="1">
      <c r="AO143" s="488" t="str">
        <f t="shared" si="39"/>
        <v/>
      </c>
      <c r="AP143" s="488" t="str">
        <f t="shared" si="28"/>
        <v/>
      </c>
      <c r="AQ143" s="488"/>
      <c r="AR143" s="739"/>
      <c r="AS143" s="720" t="str">
        <f t="shared" si="29"/>
        <v/>
      </c>
      <c r="AT143" s="275"/>
      <c r="AU143" s="489" t="e">
        <f>IF(#REF!&gt;0,#REF!,"")</f>
        <v>#REF!</v>
      </c>
      <c r="AV143" s="489" t="e">
        <f>IF(#REF!&lt;&gt;"",#REF!,"")</f>
        <v>#REF!</v>
      </c>
      <c r="AW143" s="723" t="str">
        <f t="shared" si="30"/>
        <v/>
      </c>
      <c r="AX143" s="741" t="str">
        <f t="shared" si="31"/>
        <v/>
      </c>
      <c r="AY143" s="742" t="str">
        <f>IF(L26&lt;&gt;"",#REF!,"")</f>
        <v/>
      </c>
      <c r="AZ143" s="743" t="str">
        <f t="shared" si="40"/>
        <v/>
      </c>
      <c r="BA143" s="742" t="str">
        <f>IF(L26&lt;&gt;"",#REF!,"")</f>
        <v/>
      </c>
      <c r="BB143" s="743" t="str">
        <f t="shared" si="32"/>
        <v/>
      </c>
      <c r="BC143" s="728" t="e">
        <f t="shared" si="41"/>
        <v>#REF!</v>
      </c>
      <c r="BD143" s="717"/>
      <c r="BG143" s="732" t="str">
        <f t="shared" si="42"/>
        <v/>
      </c>
      <c r="BH143" s="487" t="str">
        <f t="shared" si="33"/>
        <v/>
      </c>
      <c r="BI143" s="487"/>
      <c r="BJ143" s="487"/>
      <c r="BK143" s="720" t="str">
        <f t="shared" si="34"/>
        <v/>
      </c>
      <c r="BL143" s="700"/>
      <c r="BM143" s="732" t="e">
        <f>IF(#REF!&gt;0,#REF!,"")</f>
        <v>#REF!</v>
      </c>
      <c r="BN143" s="732" t="e">
        <f>IF(#REF!&lt;&gt;"",#REF!,"")</f>
        <v>#REF!</v>
      </c>
      <c r="BO143" s="723" t="str">
        <f t="shared" si="35"/>
        <v/>
      </c>
      <c r="BP143" s="734" t="str">
        <f t="shared" si="36"/>
        <v/>
      </c>
      <c r="BQ143" s="736" t="str">
        <f>IF(L26&lt;&gt;"",#REF!,"")</f>
        <v/>
      </c>
      <c r="BR143" s="737" t="str">
        <f t="shared" si="37"/>
        <v/>
      </c>
      <c r="BS143" s="737" t="str">
        <f>IF(L26&lt;&gt;"",#REF!,"")</f>
        <v/>
      </c>
      <c r="BT143" s="738" t="str">
        <f t="shared" si="38"/>
        <v/>
      </c>
      <c r="BU143" s="730" t="e">
        <f t="shared" si="43"/>
        <v>#REF!</v>
      </c>
    </row>
    <row r="144" spans="41:73" ht="24.95" hidden="1" customHeight="1">
      <c r="AO144" s="488" t="str">
        <f t="shared" si="39"/>
        <v/>
      </c>
      <c r="AP144" s="488" t="str">
        <f t="shared" si="28"/>
        <v/>
      </c>
      <c r="AQ144" s="488"/>
      <c r="AR144" s="739"/>
      <c r="AS144" s="720" t="str">
        <f t="shared" si="29"/>
        <v/>
      </c>
      <c r="AT144" s="275"/>
      <c r="AU144" s="489" t="e">
        <f>IF(#REF!&gt;0,#REF!,"")</f>
        <v>#REF!</v>
      </c>
      <c r="AV144" s="489" t="e">
        <f>IF(#REF!&lt;&gt;"",#REF!,"")</f>
        <v>#REF!</v>
      </c>
      <c r="AW144" s="723" t="str">
        <f t="shared" si="30"/>
        <v/>
      </c>
      <c r="AX144" s="741" t="str">
        <f t="shared" si="31"/>
        <v/>
      </c>
      <c r="AY144" s="742" t="str">
        <f>IF(L27&lt;&gt;"",#REF!,"")</f>
        <v/>
      </c>
      <c r="AZ144" s="743" t="str">
        <f t="shared" si="40"/>
        <v/>
      </c>
      <c r="BA144" s="742" t="str">
        <f>IF(L27&lt;&gt;"",#REF!,"")</f>
        <v/>
      </c>
      <c r="BB144" s="743" t="str">
        <f t="shared" si="32"/>
        <v/>
      </c>
      <c r="BC144" s="728" t="e">
        <f t="shared" si="41"/>
        <v>#REF!</v>
      </c>
      <c r="BD144" s="717"/>
      <c r="BG144" s="732" t="str">
        <f t="shared" si="42"/>
        <v/>
      </c>
      <c r="BH144" s="487" t="str">
        <f t="shared" si="33"/>
        <v/>
      </c>
      <c r="BI144" s="487"/>
      <c r="BJ144" s="487"/>
      <c r="BK144" s="720" t="str">
        <f t="shared" si="34"/>
        <v/>
      </c>
      <c r="BL144" s="700"/>
      <c r="BM144" s="732" t="e">
        <f>IF(#REF!&gt;0,#REF!,"")</f>
        <v>#REF!</v>
      </c>
      <c r="BN144" s="732" t="e">
        <f>IF(#REF!&lt;&gt;"",#REF!,"")</f>
        <v>#REF!</v>
      </c>
      <c r="BO144" s="723" t="str">
        <f t="shared" si="35"/>
        <v/>
      </c>
      <c r="BP144" s="734" t="str">
        <f t="shared" si="36"/>
        <v/>
      </c>
      <c r="BQ144" s="736" t="str">
        <f>IF(L27&lt;&gt;"",#REF!,"")</f>
        <v/>
      </c>
      <c r="BR144" s="737" t="str">
        <f t="shared" si="37"/>
        <v/>
      </c>
      <c r="BS144" s="737" t="str">
        <f>IF(L27&lt;&gt;"",#REF!,"")</f>
        <v/>
      </c>
      <c r="BT144" s="738" t="str">
        <f t="shared" si="38"/>
        <v/>
      </c>
      <c r="BU144" s="730" t="e">
        <f t="shared" si="43"/>
        <v>#REF!</v>
      </c>
    </row>
    <row r="145" spans="41:73" ht="24.95" hidden="1" customHeight="1">
      <c r="AO145" s="488" t="str">
        <f t="shared" si="39"/>
        <v/>
      </c>
      <c r="AP145" s="488" t="str">
        <f t="shared" si="28"/>
        <v/>
      </c>
      <c r="AQ145" s="488"/>
      <c r="AR145" s="739"/>
      <c r="AS145" s="720" t="str">
        <f t="shared" si="29"/>
        <v/>
      </c>
      <c r="AT145" s="275"/>
      <c r="AU145" s="489" t="e">
        <f>IF(#REF!&gt;0,#REF!,"")</f>
        <v>#REF!</v>
      </c>
      <c r="AV145" s="489" t="e">
        <f>IF(#REF!&lt;&gt;"",#REF!,"")</f>
        <v>#REF!</v>
      </c>
      <c r="AW145" s="723" t="str">
        <f t="shared" si="30"/>
        <v/>
      </c>
      <c r="AX145" s="741" t="str">
        <f t="shared" si="31"/>
        <v/>
      </c>
      <c r="AY145" s="742" t="str">
        <f>IF(L28&lt;&gt;"",#REF!,"")</f>
        <v/>
      </c>
      <c r="AZ145" s="743" t="str">
        <f t="shared" si="40"/>
        <v/>
      </c>
      <c r="BA145" s="742" t="str">
        <f>IF(L28&lt;&gt;"",#REF!,"")</f>
        <v/>
      </c>
      <c r="BB145" s="743" t="str">
        <f t="shared" si="32"/>
        <v/>
      </c>
      <c r="BC145" s="728" t="e">
        <f t="shared" si="41"/>
        <v>#REF!</v>
      </c>
      <c r="BD145" s="717"/>
      <c r="BG145" s="732" t="str">
        <f t="shared" si="42"/>
        <v/>
      </c>
      <c r="BH145" s="487" t="str">
        <f t="shared" si="33"/>
        <v/>
      </c>
      <c r="BI145" s="487"/>
      <c r="BJ145" s="487"/>
      <c r="BK145" s="720" t="str">
        <f t="shared" si="34"/>
        <v/>
      </c>
      <c r="BL145" s="700"/>
      <c r="BM145" s="732" t="e">
        <f>IF(#REF!&gt;0,#REF!,"")</f>
        <v>#REF!</v>
      </c>
      <c r="BN145" s="732" t="e">
        <f>IF(#REF!&lt;&gt;"",#REF!,"")</f>
        <v>#REF!</v>
      </c>
      <c r="BO145" s="723" t="str">
        <f t="shared" si="35"/>
        <v/>
      </c>
      <c r="BP145" s="734" t="str">
        <f t="shared" si="36"/>
        <v/>
      </c>
      <c r="BQ145" s="736" t="str">
        <f>IF(L28&lt;&gt;"",#REF!,"")</f>
        <v/>
      </c>
      <c r="BR145" s="737" t="str">
        <f t="shared" si="37"/>
        <v/>
      </c>
      <c r="BS145" s="737" t="str">
        <f>IF(L28&lt;&gt;"",#REF!,"")</f>
        <v/>
      </c>
      <c r="BT145" s="738" t="str">
        <f t="shared" si="38"/>
        <v/>
      </c>
      <c r="BU145" s="730" t="e">
        <f t="shared" si="43"/>
        <v>#REF!</v>
      </c>
    </row>
    <row r="146" spans="41:73" ht="24.95" hidden="1" customHeight="1">
      <c r="AO146" s="488" t="str">
        <f t="shared" si="39"/>
        <v/>
      </c>
      <c r="AP146" s="488" t="str">
        <f t="shared" si="28"/>
        <v/>
      </c>
      <c r="AQ146" s="488"/>
      <c r="AR146" s="739"/>
      <c r="AS146" s="720" t="str">
        <f t="shared" si="29"/>
        <v/>
      </c>
      <c r="AT146" s="275"/>
      <c r="AU146" s="489" t="e">
        <f>IF(#REF!&gt;0,#REF!,"")</f>
        <v>#REF!</v>
      </c>
      <c r="AV146" s="489" t="e">
        <f>IF(#REF!&lt;&gt;"",#REF!,"")</f>
        <v>#REF!</v>
      </c>
      <c r="AW146" s="723" t="str">
        <f t="shared" si="30"/>
        <v/>
      </c>
      <c r="AX146" s="741" t="str">
        <f t="shared" si="31"/>
        <v/>
      </c>
      <c r="AY146" s="742" t="str">
        <f>IF(L29&lt;&gt;"",#REF!,"")</f>
        <v/>
      </c>
      <c r="AZ146" s="743" t="str">
        <f t="shared" si="40"/>
        <v/>
      </c>
      <c r="BA146" s="742" t="str">
        <f>IF(L29&lt;&gt;"",#REF!,"")</f>
        <v/>
      </c>
      <c r="BB146" s="743" t="str">
        <f t="shared" si="32"/>
        <v/>
      </c>
      <c r="BC146" s="728" t="e">
        <f t="shared" si="41"/>
        <v>#REF!</v>
      </c>
      <c r="BD146" s="717"/>
      <c r="BG146" s="732" t="str">
        <f t="shared" si="42"/>
        <v/>
      </c>
      <c r="BH146" s="487" t="str">
        <f t="shared" si="33"/>
        <v/>
      </c>
      <c r="BI146" s="487"/>
      <c r="BJ146" s="487"/>
      <c r="BK146" s="720" t="str">
        <f t="shared" si="34"/>
        <v/>
      </c>
      <c r="BL146" s="700"/>
      <c r="BM146" s="732" t="e">
        <f>IF(#REF!&gt;0,#REF!,"")</f>
        <v>#REF!</v>
      </c>
      <c r="BN146" s="732" t="e">
        <f>IF(#REF!&lt;&gt;"",#REF!,"")</f>
        <v>#REF!</v>
      </c>
      <c r="BO146" s="723" t="str">
        <f t="shared" si="35"/>
        <v/>
      </c>
      <c r="BP146" s="734" t="str">
        <f t="shared" si="36"/>
        <v/>
      </c>
      <c r="BQ146" s="736" t="str">
        <f>IF(L29&lt;&gt;"",#REF!,"")</f>
        <v/>
      </c>
      <c r="BR146" s="737" t="str">
        <f t="shared" si="37"/>
        <v/>
      </c>
      <c r="BS146" s="737" t="str">
        <f>IF(L29&lt;&gt;"",#REF!,"")</f>
        <v/>
      </c>
      <c r="BT146" s="738" t="str">
        <f t="shared" si="38"/>
        <v/>
      </c>
      <c r="BU146" s="730" t="e">
        <f t="shared" si="43"/>
        <v>#REF!</v>
      </c>
    </row>
    <row r="147" spans="41:73" ht="24.95" hidden="1" customHeight="1">
      <c r="AO147" s="488" t="str">
        <f t="shared" si="39"/>
        <v/>
      </c>
      <c r="AP147" s="488" t="str">
        <f t="shared" si="28"/>
        <v/>
      </c>
      <c r="AQ147" s="488"/>
      <c r="AR147" s="739"/>
      <c r="AS147" s="720" t="str">
        <f t="shared" si="29"/>
        <v/>
      </c>
      <c r="AT147" s="275"/>
      <c r="AU147" s="489" t="e">
        <f>IF(#REF!&gt;0,#REF!,"")</f>
        <v>#REF!</v>
      </c>
      <c r="AV147" s="489" t="e">
        <f>IF(#REF!&lt;&gt;"",#REF!,"")</f>
        <v>#REF!</v>
      </c>
      <c r="AW147" s="723" t="str">
        <f t="shared" si="30"/>
        <v/>
      </c>
      <c r="AX147" s="741" t="str">
        <f t="shared" si="31"/>
        <v/>
      </c>
      <c r="AY147" s="742" t="str">
        <f>IF(L30&lt;&gt;"",#REF!,"")</f>
        <v/>
      </c>
      <c r="AZ147" s="743" t="str">
        <f t="shared" si="40"/>
        <v/>
      </c>
      <c r="BA147" s="742" t="str">
        <f>IF(L30&lt;&gt;"",#REF!,"")</f>
        <v/>
      </c>
      <c r="BB147" s="743" t="str">
        <f t="shared" si="32"/>
        <v/>
      </c>
      <c r="BC147" s="728" t="e">
        <f t="shared" si="41"/>
        <v>#REF!</v>
      </c>
      <c r="BD147" s="717"/>
      <c r="BG147" s="732" t="str">
        <f t="shared" si="42"/>
        <v/>
      </c>
      <c r="BH147" s="487" t="str">
        <f t="shared" si="33"/>
        <v/>
      </c>
      <c r="BI147" s="487"/>
      <c r="BJ147" s="487"/>
      <c r="BK147" s="720" t="str">
        <f t="shared" si="34"/>
        <v/>
      </c>
      <c r="BL147" s="700"/>
      <c r="BM147" s="732" t="e">
        <f>IF(#REF!&gt;0,#REF!,"")</f>
        <v>#REF!</v>
      </c>
      <c r="BN147" s="732" t="e">
        <f>IF(#REF!&lt;&gt;"",#REF!,"")</f>
        <v>#REF!</v>
      </c>
      <c r="BO147" s="723" t="str">
        <f t="shared" si="35"/>
        <v/>
      </c>
      <c r="BP147" s="734" t="str">
        <f t="shared" si="36"/>
        <v/>
      </c>
      <c r="BQ147" s="736" t="str">
        <f>IF(L30&lt;&gt;"",#REF!,"")</f>
        <v/>
      </c>
      <c r="BR147" s="737" t="str">
        <f t="shared" si="37"/>
        <v/>
      </c>
      <c r="BS147" s="737" t="str">
        <f>IF(L30&lt;&gt;"",#REF!,"")</f>
        <v/>
      </c>
      <c r="BT147" s="738" t="str">
        <f t="shared" si="38"/>
        <v/>
      </c>
      <c r="BU147" s="730" t="e">
        <f t="shared" si="43"/>
        <v>#REF!</v>
      </c>
    </row>
    <row r="148" spans="41:73" ht="24.95" hidden="1" customHeight="1">
      <c r="AO148" s="488" t="str">
        <f t="shared" si="39"/>
        <v/>
      </c>
      <c r="AP148" s="488" t="str">
        <f t="shared" si="28"/>
        <v/>
      </c>
      <c r="AQ148" s="488"/>
      <c r="AR148" s="739"/>
      <c r="AS148" s="720" t="str">
        <f t="shared" si="29"/>
        <v/>
      </c>
      <c r="AT148" s="275"/>
      <c r="AU148" s="489" t="e">
        <f>IF(#REF!&gt;0,#REF!,"")</f>
        <v>#REF!</v>
      </c>
      <c r="AV148" s="489" t="e">
        <f>IF(#REF!&lt;&gt;"",#REF!,"")</f>
        <v>#REF!</v>
      </c>
      <c r="AW148" s="723" t="str">
        <f t="shared" si="30"/>
        <v/>
      </c>
      <c r="AX148" s="741" t="str">
        <f t="shared" si="31"/>
        <v/>
      </c>
      <c r="AY148" s="742" t="str">
        <f>IF(L31&lt;&gt;"",#REF!,"")</f>
        <v/>
      </c>
      <c r="AZ148" s="743" t="str">
        <f t="shared" si="40"/>
        <v/>
      </c>
      <c r="BA148" s="742" t="str">
        <f>IF(L31&lt;&gt;"",#REF!,"")</f>
        <v/>
      </c>
      <c r="BB148" s="743" t="str">
        <f t="shared" si="32"/>
        <v/>
      </c>
      <c r="BC148" s="728" t="e">
        <f t="shared" si="41"/>
        <v>#REF!</v>
      </c>
      <c r="BD148" s="717"/>
      <c r="BG148" s="732" t="str">
        <f t="shared" si="42"/>
        <v/>
      </c>
      <c r="BH148" s="487" t="str">
        <f t="shared" si="33"/>
        <v/>
      </c>
      <c r="BI148" s="487"/>
      <c r="BJ148" s="487"/>
      <c r="BK148" s="720" t="str">
        <f t="shared" si="34"/>
        <v/>
      </c>
      <c r="BL148" s="700"/>
      <c r="BM148" s="732" t="e">
        <f>IF(#REF!&gt;0,#REF!,"")</f>
        <v>#REF!</v>
      </c>
      <c r="BN148" s="732" t="e">
        <f>IF(#REF!&lt;&gt;"",#REF!,"")</f>
        <v>#REF!</v>
      </c>
      <c r="BO148" s="723" t="str">
        <f t="shared" si="35"/>
        <v/>
      </c>
      <c r="BP148" s="734" t="str">
        <f t="shared" si="36"/>
        <v/>
      </c>
      <c r="BQ148" s="736" t="str">
        <f>IF(L31&lt;&gt;"",#REF!,"")</f>
        <v/>
      </c>
      <c r="BR148" s="737" t="str">
        <f t="shared" si="37"/>
        <v/>
      </c>
      <c r="BS148" s="737" t="str">
        <f>IF(L31&lt;&gt;"",#REF!,"")</f>
        <v/>
      </c>
      <c r="BT148" s="738" t="str">
        <f t="shared" si="38"/>
        <v/>
      </c>
      <c r="BU148" s="730" t="e">
        <f t="shared" si="43"/>
        <v>#REF!</v>
      </c>
    </row>
    <row r="149" spans="41:73" ht="24.95" hidden="1" customHeight="1">
      <c r="AO149" s="488" t="str">
        <f t="shared" si="39"/>
        <v/>
      </c>
      <c r="AP149" s="488" t="str">
        <f t="shared" si="28"/>
        <v/>
      </c>
      <c r="AQ149" s="488"/>
      <c r="AR149" s="739"/>
      <c r="AS149" s="720" t="str">
        <f t="shared" si="29"/>
        <v/>
      </c>
      <c r="AT149" s="275"/>
      <c r="AU149" s="489" t="e">
        <f>IF(#REF!&gt;0,#REF!,"")</f>
        <v>#REF!</v>
      </c>
      <c r="AV149" s="489" t="e">
        <f>IF(#REF!&lt;&gt;"",#REF!,"")</f>
        <v>#REF!</v>
      </c>
      <c r="AW149" s="723" t="str">
        <f t="shared" si="30"/>
        <v/>
      </c>
      <c r="AX149" s="741" t="str">
        <f t="shared" si="31"/>
        <v/>
      </c>
      <c r="AY149" s="742" t="str">
        <f>IF(L32&lt;&gt;"",#REF!,"")</f>
        <v/>
      </c>
      <c r="AZ149" s="743" t="str">
        <f t="shared" si="40"/>
        <v/>
      </c>
      <c r="BA149" s="742" t="str">
        <f>IF(L32&lt;&gt;"",#REF!,"")</f>
        <v/>
      </c>
      <c r="BB149" s="743" t="str">
        <f t="shared" si="32"/>
        <v/>
      </c>
      <c r="BC149" s="728" t="e">
        <f t="shared" si="41"/>
        <v>#REF!</v>
      </c>
      <c r="BD149" s="717"/>
      <c r="BG149" s="732" t="str">
        <f t="shared" si="42"/>
        <v/>
      </c>
      <c r="BH149" s="487" t="str">
        <f t="shared" si="33"/>
        <v/>
      </c>
      <c r="BI149" s="487"/>
      <c r="BJ149" s="487"/>
      <c r="BK149" s="720" t="str">
        <f t="shared" si="34"/>
        <v/>
      </c>
      <c r="BL149" s="700"/>
      <c r="BM149" s="732" t="e">
        <f>IF(#REF!&gt;0,#REF!,"")</f>
        <v>#REF!</v>
      </c>
      <c r="BN149" s="732" t="e">
        <f>IF(#REF!&lt;&gt;"",#REF!,"")</f>
        <v>#REF!</v>
      </c>
      <c r="BO149" s="723" t="str">
        <f t="shared" si="35"/>
        <v/>
      </c>
      <c r="BP149" s="734" t="str">
        <f t="shared" si="36"/>
        <v/>
      </c>
      <c r="BQ149" s="736" t="str">
        <f>IF(L32&lt;&gt;"",#REF!,"")</f>
        <v/>
      </c>
      <c r="BR149" s="737" t="str">
        <f t="shared" si="37"/>
        <v/>
      </c>
      <c r="BS149" s="737" t="str">
        <f>IF(L32&lt;&gt;"",#REF!,"")</f>
        <v/>
      </c>
      <c r="BT149" s="738" t="str">
        <f t="shared" si="38"/>
        <v/>
      </c>
      <c r="BU149" s="730" t="e">
        <f t="shared" si="43"/>
        <v>#REF!</v>
      </c>
    </row>
    <row r="150" spans="41:73" ht="24.95" hidden="1" customHeight="1">
      <c r="AO150" s="488" t="str">
        <f t="shared" si="39"/>
        <v/>
      </c>
      <c r="AP150" s="488" t="str">
        <f t="shared" si="28"/>
        <v/>
      </c>
      <c r="AQ150" s="488"/>
      <c r="AR150" s="739"/>
      <c r="AS150" s="720" t="str">
        <f t="shared" si="29"/>
        <v/>
      </c>
      <c r="AT150" s="275"/>
      <c r="AU150" s="489" t="e">
        <f>IF(#REF!&gt;0,#REF!,"")</f>
        <v>#REF!</v>
      </c>
      <c r="AV150" s="489" t="e">
        <f>IF(#REF!&lt;&gt;"",#REF!,"")</f>
        <v>#REF!</v>
      </c>
      <c r="AW150" s="723" t="str">
        <f t="shared" si="30"/>
        <v/>
      </c>
      <c r="AX150" s="741" t="str">
        <f t="shared" si="31"/>
        <v/>
      </c>
      <c r="AY150" s="742" t="str">
        <f>IF(L33&lt;&gt;"",#REF!,"")</f>
        <v/>
      </c>
      <c r="AZ150" s="743" t="str">
        <f t="shared" si="40"/>
        <v/>
      </c>
      <c r="BA150" s="742" t="str">
        <f>IF(L33&lt;&gt;"",#REF!,"")</f>
        <v/>
      </c>
      <c r="BB150" s="743" t="str">
        <f t="shared" si="32"/>
        <v/>
      </c>
      <c r="BC150" s="728" t="e">
        <f t="shared" si="41"/>
        <v>#REF!</v>
      </c>
      <c r="BD150" s="717"/>
      <c r="BG150" s="732" t="str">
        <f t="shared" si="42"/>
        <v/>
      </c>
      <c r="BH150" s="487" t="str">
        <f t="shared" si="33"/>
        <v/>
      </c>
      <c r="BI150" s="487"/>
      <c r="BJ150" s="487"/>
      <c r="BK150" s="720" t="str">
        <f t="shared" si="34"/>
        <v/>
      </c>
      <c r="BL150" s="700"/>
      <c r="BM150" s="732" t="e">
        <f>IF(#REF!&gt;0,#REF!,"")</f>
        <v>#REF!</v>
      </c>
      <c r="BN150" s="732" t="e">
        <f>IF(#REF!&lt;&gt;"",#REF!,"")</f>
        <v>#REF!</v>
      </c>
      <c r="BO150" s="723" t="str">
        <f t="shared" si="35"/>
        <v/>
      </c>
      <c r="BP150" s="734" t="str">
        <f t="shared" si="36"/>
        <v/>
      </c>
      <c r="BQ150" s="736" t="str">
        <f>IF(L33&lt;&gt;"",#REF!,"")</f>
        <v/>
      </c>
      <c r="BR150" s="737" t="str">
        <f t="shared" si="37"/>
        <v/>
      </c>
      <c r="BS150" s="737" t="str">
        <f>IF(L33&lt;&gt;"",#REF!,"")</f>
        <v/>
      </c>
      <c r="BT150" s="738" t="str">
        <f t="shared" si="38"/>
        <v/>
      </c>
      <c r="BU150" s="730" t="e">
        <f t="shared" si="43"/>
        <v>#REF!</v>
      </c>
    </row>
    <row r="151" spans="41:73" ht="24.95" hidden="1" customHeight="1">
      <c r="AO151" s="488" t="str">
        <f t="shared" si="39"/>
        <v/>
      </c>
      <c r="AP151" s="488" t="str">
        <f t="shared" si="28"/>
        <v/>
      </c>
      <c r="AQ151" s="488"/>
      <c r="AR151" s="739"/>
      <c r="AS151" s="720" t="str">
        <f t="shared" si="29"/>
        <v/>
      </c>
      <c r="AT151" s="275"/>
      <c r="AU151" s="489" t="e">
        <f>IF(#REF!&gt;0,#REF!,"")</f>
        <v>#REF!</v>
      </c>
      <c r="AV151" s="489" t="e">
        <f>IF(#REF!&lt;&gt;"",#REF!,"")</f>
        <v>#REF!</v>
      </c>
      <c r="AW151" s="723" t="str">
        <f t="shared" si="30"/>
        <v/>
      </c>
      <c r="AX151" s="741" t="str">
        <f t="shared" si="31"/>
        <v/>
      </c>
      <c r="AY151" s="742" t="str">
        <f>IF(L34&lt;&gt;"",#REF!,"")</f>
        <v/>
      </c>
      <c r="AZ151" s="743" t="str">
        <f t="shared" si="40"/>
        <v/>
      </c>
      <c r="BA151" s="742" t="str">
        <f>IF(L34&lt;&gt;"",#REF!,"")</f>
        <v/>
      </c>
      <c r="BB151" s="743" t="str">
        <f t="shared" si="32"/>
        <v/>
      </c>
      <c r="BC151" s="728" t="e">
        <f t="shared" si="41"/>
        <v>#REF!</v>
      </c>
      <c r="BD151" s="717"/>
      <c r="BG151" s="732" t="str">
        <f t="shared" si="42"/>
        <v/>
      </c>
      <c r="BH151" s="487" t="str">
        <f t="shared" si="33"/>
        <v/>
      </c>
      <c r="BI151" s="487"/>
      <c r="BJ151" s="487"/>
      <c r="BK151" s="720" t="str">
        <f t="shared" si="34"/>
        <v/>
      </c>
      <c r="BL151" s="700"/>
      <c r="BM151" s="732" t="e">
        <f>IF(#REF!&gt;0,#REF!,"")</f>
        <v>#REF!</v>
      </c>
      <c r="BN151" s="732" t="e">
        <f>IF(#REF!&lt;&gt;"",#REF!,"")</f>
        <v>#REF!</v>
      </c>
      <c r="BO151" s="723" t="str">
        <f t="shared" si="35"/>
        <v/>
      </c>
      <c r="BP151" s="734" t="str">
        <f t="shared" si="36"/>
        <v/>
      </c>
      <c r="BQ151" s="736" t="str">
        <f>IF(L34&lt;&gt;"",#REF!,"")</f>
        <v/>
      </c>
      <c r="BR151" s="737" t="str">
        <f t="shared" si="37"/>
        <v/>
      </c>
      <c r="BS151" s="737" t="str">
        <f>IF(L34&lt;&gt;"",#REF!,"")</f>
        <v/>
      </c>
      <c r="BT151" s="738" t="str">
        <f t="shared" si="38"/>
        <v/>
      </c>
      <c r="BU151" s="730" t="e">
        <f t="shared" si="43"/>
        <v>#REF!</v>
      </c>
    </row>
    <row r="152" spans="41:73" ht="24.95" hidden="1" customHeight="1">
      <c r="AO152" s="488" t="str">
        <f t="shared" si="39"/>
        <v/>
      </c>
      <c r="AP152" s="488" t="str">
        <f t="shared" si="28"/>
        <v/>
      </c>
      <c r="AQ152" s="488"/>
      <c r="AR152" s="739"/>
      <c r="AS152" s="720" t="str">
        <f t="shared" si="29"/>
        <v/>
      </c>
      <c r="AT152" s="275"/>
      <c r="AU152" s="489" t="e">
        <f>IF(#REF!&gt;0,#REF!,"")</f>
        <v>#REF!</v>
      </c>
      <c r="AV152" s="489" t="e">
        <f>IF(#REF!&lt;&gt;"",#REF!,"")</f>
        <v>#REF!</v>
      </c>
      <c r="AW152" s="723" t="str">
        <f t="shared" si="30"/>
        <v/>
      </c>
      <c r="AX152" s="741" t="str">
        <f t="shared" si="31"/>
        <v/>
      </c>
      <c r="AY152" s="742" t="str">
        <f>IF(L35&lt;&gt;"",#REF!,"")</f>
        <v/>
      </c>
      <c r="AZ152" s="743" t="str">
        <f t="shared" si="40"/>
        <v/>
      </c>
      <c r="BA152" s="742" t="str">
        <f>IF(L35&lt;&gt;"",#REF!,"")</f>
        <v/>
      </c>
      <c r="BB152" s="743" t="str">
        <f t="shared" si="32"/>
        <v/>
      </c>
      <c r="BC152" s="728" t="e">
        <f t="shared" si="41"/>
        <v>#REF!</v>
      </c>
      <c r="BD152" s="717"/>
      <c r="BG152" s="732" t="str">
        <f t="shared" si="42"/>
        <v/>
      </c>
      <c r="BH152" s="487" t="str">
        <f t="shared" si="33"/>
        <v/>
      </c>
      <c r="BI152" s="487"/>
      <c r="BJ152" s="487"/>
      <c r="BK152" s="720" t="str">
        <f t="shared" si="34"/>
        <v/>
      </c>
      <c r="BL152" s="700"/>
      <c r="BM152" s="732" t="e">
        <f>IF(#REF!&gt;0,#REF!,"")</f>
        <v>#REF!</v>
      </c>
      <c r="BN152" s="732" t="e">
        <f>IF(#REF!&lt;&gt;"",#REF!,"")</f>
        <v>#REF!</v>
      </c>
      <c r="BO152" s="723" t="str">
        <f t="shared" si="35"/>
        <v/>
      </c>
      <c r="BP152" s="734" t="str">
        <f t="shared" si="36"/>
        <v/>
      </c>
      <c r="BQ152" s="736" t="str">
        <f>IF(L35&lt;&gt;"",#REF!,"")</f>
        <v/>
      </c>
      <c r="BR152" s="737" t="str">
        <f t="shared" si="37"/>
        <v/>
      </c>
      <c r="BS152" s="737" t="str">
        <f>IF(L35&lt;&gt;"",#REF!,"")</f>
        <v/>
      </c>
      <c r="BT152" s="738" t="str">
        <f t="shared" si="38"/>
        <v/>
      </c>
      <c r="BU152" s="730" t="e">
        <f t="shared" si="43"/>
        <v>#REF!</v>
      </c>
    </row>
    <row r="153" spans="41:73" ht="24.95" hidden="1" customHeight="1">
      <c r="AO153" s="488" t="str">
        <f t="shared" si="39"/>
        <v/>
      </c>
      <c r="AP153" s="488" t="str">
        <f t="shared" si="28"/>
        <v/>
      </c>
      <c r="AQ153" s="488"/>
      <c r="AR153" s="739"/>
      <c r="AS153" s="720" t="str">
        <f t="shared" si="29"/>
        <v/>
      </c>
      <c r="AT153" s="275"/>
      <c r="AU153" s="489" t="e">
        <f>IF(#REF!&gt;0,#REF!,"")</f>
        <v>#REF!</v>
      </c>
      <c r="AV153" s="489" t="e">
        <f>IF(#REF!&lt;&gt;"",#REF!,"")</f>
        <v>#REF!</v>
      </c>
      <c r="AW153" s="723" t="str">
        <f t="shared" si="30"/>
        <v/>
      </c>
      <c r="AX153" s="741" t="str">
        <f t="shared" si="31"/>
        <v/>
      </c>
      <c r="AY153" s="742" t="str">
        <f>IF(L36&lt;&gt;"",#REF!,"")</f>
        <v/>
      </c>
      <c r="AZ153" s="743" t="str">
        <f t="shared" si="40"/>
        <v/>
      </c>
      <c r="BA153" s="742" t="str">
        <f>IF(L36&lt;&gt;"",#REF!,"")</f>
        <v/>
      </c>
      <c r="BB153" s="743" t="str">
        <f t="shared" si="32"/>
        <v/>
      </c>
      <c r="BC153" s="728" t="e">
        <f t="shared" si="41"/>
        <v>#REF!</v>
      </c>
      <c r="BD153" s="717"/>
      <c r="BG153" s="732" t="str">
        <f t="shared" si="42"/>
        <v/>
      </c>
      <c r="BH153" s="487" t="str">
        <f t="shared" si="33"/>
        <v/>
      </c>
      <c r="BI153" s="487"/>
      <c r="BJ153" s="487"/>
      <c r="BK153" s="720" t="str">
        <f t="shared" si="34"/>
        <v/>
      </c>
      <c r="BL153" s="700"/>
      <c r="BM153" s="732" t="e">
        <f>IF(#REF!&gt;0,#REF!,"")</f>
        <v>#REF!</v>
      </c>
      <c r="BN153" s="732" t="e">
        <f>IF(#REF!&lt;&gt;"",#REF!,"")</f>
        <v>#REF!</v>
      </c>
      <c r="BO153" s="723" t="str">
        <f t="shared" si="35"/>
        <v/>
      </c>
      <c r="BP153" s="734" t="str">
        <f t="shared" si="36"/>
        <v/>
      </c>
      <c r="BQ153" s="736" t="str">
        <f>IF(L36&lt;&gt;"",#REF!,"")</f>
        <v/>
      </c>
      <c r="BR153" s="737" t="str">
        <f t="shared" si="37"/>
        <v/>
      </c>
      <c r="BS153" s="737" t="str">
        <f>IF(L36&lt;&gt;"",#REF!,"")</f>
        <v/>
      </c>
      <c r="BT153" s="738" t="str">
        <f t="shared" si="38"/>
        <v/>
      </c>
      <c r="BU153" s="730" t="e">
        <f t="shared" si="43"/>
        <v>#REF!</v>
      </c>
    </row>
    <row r="154" spans="41:73" ht="24.95" hidden="1" customHeight="1">
      <c r="AO154" s="488" t="str">
        <f t="shared" si="39"/>
        <v/>
      </c>
      <c r="AP154" s="488" t="str">
        <f t="shared" si="28"/>
        <v/>
      </c>
      <c r="AQ154" s="488"/>
      <c r="AR154" s="739"/>
      <c r="AS154" s="720" t="str">
        <f t="shared" si="29"/>
        <v/>
      </c>
      <c r="AT154" s="275"/>
      <c r="AU154" s="489" t="e">
        <f>IF(#REF!&gt;0,#REF!,"")</f>
        <v>#REF!</v>
      </c>
      <c r="AV154" s="489" t="e">
        <f>IF(#REF!&lt;&gt;"",#REF!,"")</f>
        <v>#REF!</v>
      </c>
      <c r="AW154" s="723" t="str">
        <f t="shared" si="30"/>
        <v/>
      </c>
      <c r="AX154" s="741" t="str">
        <f t="shared" si="31"/>
        <v/>
      </c>
      <c r="AY154" s="742" t="str">
        <f>IF(L37&lt;&gt;"",#REF!,"")</f>
        <v/>
      </c>
      <c r="AZ154" s="743" t="str">
        <f t="shared" si="40"/>
        <v/>
      </c>
      <c r="BA154" s="742" t="str">
        <f>IF(L37&lt;&gt;"",#REF!,"")</f>
        <v/>
      </c>
      <c r="BB154" s="743" t="str">
        <f t="shared" si="32"/>
        <v/>
      </c>
      <c r="BC154" s="728" t="e">
        <f t="shared" si="41"/>
        <v>#REF!</v>
      </c>
      <c r="BD154" s="717"/>
      <c r="BG154" s="732" t="str">
        <f t="shared" si="42"/>
        <v/>
      </c>
      <c r="BH154" s="487" t="str">
        <f t="shared" si="33"/>
        <v/>
      </c>
      <c r="BI154" s="487"/>
      <c r="BJ154" s="487"/>
      <c r="BK154" s="720" t="str">
        <f t="shared" si="34"/>
        <v/>
      </c>
      <c r="BL154" s="700"/>
      <c r="BM154" s="732" t="e">
        <f>IF(#REF!&gt;0,#REF!,"")</f>
        <v>#REF!</v>
      </c>
      <c r="BN154" s="732" t="e">
        <f>IF(#REF!&lt;&gt;"",#REF!,"")</f>
        <v>#REF!</v>
      </c>
      <c r="BO154" s="723" t="str">
        <f t="shared" si="35"/>
        <v/>
      </c>
      <c r="BP154" s="734" t="str">
        <f t="shared" si="36"/>
        <v/>
      </c>
      <c r="BQ154" s="736" t="str">
        <f>IF(L37&lt;&gt;"",#REF!,"")</f>
        <v/>
      </c>
      <c r="BR154" s="737" t="str">
        <f t="shared" si="37"/>
        <v/>
      </c>
      <c r="BS154" s="737" t="str">
        <f>IF(L37&lt;&gt;"",#REF!,"")</f>
        <v/>
      </c>
      <c r="BT154" s="738" t="str">
        <f t="shared" si="38"/>
        <v/>
      </c>
      <c r="BU154" s="730" t="e">
        <f t="shared" si="43"/>
        <v>#REF!</v>
      </c>
    </row>
    <row r="155" spans="41:73" ht="24.95" hidden="1" customHeight="1">
      <c r="AO155" s="488" t="str">
        <f t="shared" si="39"/>
        <v/>
      </c>
      <c r="AP155" s="488" t="str">
        <f t="shared" si="28"/>
        <v/>
      </c>
      <c r="AQ155" s="488"/>
      <c r="AR155" s="739"/>
      <c r="AS155" s="720" t="str">
        <f t="shared" si="29"/>
        <v/>
      </c>
      <c r="AT155" s="275"/>
      <c r="AU155" s="489" t="e">
        <f>IF(#REF!&gt;0,#REF!,"")</f>
        <v>#REF!</v>
      </c>
      <c r="AV155" s="489" t="e">
        <f>IF(#REF!&lt;&gt;"",#REF!,"")</f>
        <v>#REF!</v>
      </c>
      <c r="AW155" s="723" t="str">
        <f t="shared" si="30"/>
        <v/>
      </c>
      <c r="AX155" s="741" t="str">
        <f t="shared" si="31"/>
        <v/>
      </c>
      <c r="AY155" s="742" t="str">
        <f>IF(L38&lt;&gt;"",#REF!,"")</f>
        <v/>
      </c>
      <c r="AZ155" s="743" t="str">
        <f t="shared" si="40"/>
        <v/>
      </c>
      <c r="BA155" s="742" t="str">
        <f>IF(L38&lt;&gt;"",#REF!,"")</f>
        <v/>
      </c>
      <c r="BB155" s="743" t="str">
        <f t="shared" si="32"/>
        <v/>
      </c>
      <c r="BC155" s="728" t="e">
        <f t="shared" si="41"/>
        <v>#REF!</v>
      </c>
      <c r="BD155" s="717"/>
      <c r="BG155" s="732" t="str">
        <f t="shared" si="42"/>
        <v/>
      </c>
      <c r="BH155" s="487" t="str">
        <f t="shared" si="33"/>
        <v/>
      </c>
      <c r="BI155" s="487"/>
      <c r="BJ155" s="487"/>
      <c r="BK155" s="720" t="str">
        <f t="shared" si="34"/>
        <v/>
      </c>
      <c r="BL155" s="700"/>
      <c r="BM155" s="732" t="e">
        <f>IF(#REF!&gt;0,#REF!,"")</f>
        <v>#REF!</v>
      </c>
      <c r="BN155" s="732" t="e">
        <f>IF(#REF!&lt;&gt;"",#REF!,"")</f>
        <v>#REF!</v>
      </c>
      <c r="BO155" s="723" t="str">
        <f t="shared" si="35"/>
        <v/>
      </c>
      <c r="BP155" s="734" t="str">
        <f t="shared" si="36"/>
        <v/>
      </c>
      <c r="BQ155" s="736" t="str">
        <f>IF(L38&lt;&gt;"",#REF!,"")</f>
        <v/>
      </c>
      <c r="BR155" s="737" t="str">
        <f t="shared" si="37"/>
        <v/>
      </c>
      <c r="BS155" s="737" t="str">
        <f>IF(L38&lt;&gt;"",#REF!,"")</f>
        <v/>
      </c>
      <c r="BT155" s="738" t="str">
        <f t="shared" si="38"/>
        <v/>
      </c>
      <c r="BU155" s="730" t="e">
        <f t="shared" si="43"/>
        <v>#REF!</v>
      </c>
    </row>
    <row r="156" spans="41:73" ht="24.95" hidden="1" customHeight="1">
      <c r="AO156" s="488" t="str">
        <f t="shared" si="39"/>
        <v/>
      </c>
      <c r="AP156" s="488" t="str">
        <f t="shared" si="28"/>
        <v/>
      </c>
      <c r="AQ156" s="488"/>
      <c r="AR156" s="739"/>
      <c r="AS156" s="720" t="str">
        <f t="shared" si="29"/>
        <v/>
      </c>
      <c r="AT156" s="275"/>
      <c r="AU156" s="489" t="e">
        <f>IF(#REF!&gt;0,#REF!,"")</f>
        <v>#REF!</v>
      </c>
      <c r="AV156" s="489" t="e">
        <f>IF(#REF!&lt;&gt;"",#REF!,"")</f>
        <v>#REF!</v>
      </c>
      <c r="AW156" s="723" t="str">
        <f t="shared" si="30"/>
        <v/>
      </c>
      <c r="AX156" s="741" t="str">
        <f t="shared" si="31"/>
        <v/>
      </c>
      <c r="AY156" s="742" t="str">
        <f>IF(L39&lt;&gt;"",#REF!,"")</f>
        <v/>
      </c>
      <c r="AZ156" s="743" t="str">
        <f t="shared" si="40"/>
        <v/>
      </c>
      <c r="BA156" s="742" t="str">
        <f>IF(L39&lt;&gt;"",#REF!,"")</f>
        <v/>
      </c>
      <c r="BB156" s="743" t="str">
        <f t="shared" si="32"/>
        <v/>
      </c>
      <c r="BC156" s="728" t="e">
        <f t="shared" si="41"/>
        <v>#REF!</v>
      </c>
      <c r="BD156" s="717"/>
      <c r="BG156" s="732" t="str">
        <f t="shared" si="42"/>
        <v/>
      </c>
      <c r="BH156" s="487" t="str">
        <f t="shared" si="33"/>
        <v/>
      </c>
      <c r="BI156" s="487"/>
      <c r="BJ156" s="487"/>
      <c r="BK156" s="720" t="str">
        <f t="shared" si="34"/>
        <v/>
      </c>
      <c r="BL156" s="700"/>
      <c r="BM156" s="732" t="e">
        <f>IF(#REF!&gt;0,#REF!,"")</f>
        <v>#REF!</v>
      </c>
      <c r="BN156" s="732" t="e">
        <f>IF(#REF!&lt;&gt;"",#REF!,"")</f>
        <v>#REF!</v>
      </c>
      <c r="BO156" s="723" t="str">
        <f t="shared" si="35"/>
        <v/>
      </c>
      <c r="BP156" s="734" t="str">
        <f t="shared" si="36"/>
        <v/>
      </c>
      <c r="BQ156" s="736" t="str">
        <f>IF(L39&lt;&gt;"",#REF!,"")</f>
        <v/>
      </c>
      <c r="BR156" s="737" t="str">
        <f t="shared" si="37"/>
        <v/>
      </c>
      <c r="BS156" s="737" t="str">
        <f>IF(L39&lt;&gt;"",#REF!,"")</f>
        <v/>
      </c>
      <c r="BT156" s="738" t="str">
        <f t="shared" si="38"/>
        <v/>
      </c>
      <c r="BU156" s="730" t="e">
        <f t="shared" si="43"/>
        <v>#REF!</v>
      </c>
    </row>
    <row r="157" spans="41:73" ht="24.95" hidden="1" customHeight="1">
      <c r="AO157" s="488" t="str">
        <f t="shared" si="39"/>
        <v/>
      </c>
      <c r="AP157" s="488" t="str">
        <f t="shared" ref="AP157:AP188" si="44">IF(K40&lt;&gt;"",K40,"")</f>
        <v/>
      </c>
      <c r="AQ157" s="488"/>
      <c r="AR157" s="739"/>
      <c r="AS157" s="720" t="str">
        <f t="shared" ref="AS157:AS188" si="45">IF(L40&lt;&gt;"",MID(L40,7,200),"")</f>
        <v/>
      </c>
      <c r="AT157" s="275"/>
      <c r="AU157" s="489" t="e">
        <f>IF(#REF!&gt;0,#REF!,"")</f>
        <v>#REF!</v>
      </c>
      <c r="AV157" s="489" t="e">
        <f>IF(#REF!&lt;&gt;"",#REF!,"")</f>
        <v>#REF!</v>
      </c>
      <c r="AW157" s="723" t="str">
        <f t="shared" ref="AW157:AW188" si="46">IF(L40&lt;&gt;"",MID(M40,5,100),"")</f>
        <v/>
      </c>
      <c r="AX157" s="741" t="str">
        <f t="shared" si="31"/>
        <v/>
      </c>
      <c r="AY157" s="742" t="str">
        <f>IF(L40&lt;&gt;"",#REF!,"")</f>
        <v/>
      </c>
      <c r="AZ157" s="743" t="str">
        <f t="shared" si="40"/>
        <v/>
      </c>
      <c r="BA157" s="742" t="str">
        <f>IF(L40&lt;&gt;"",#REF!,"")</f>
        <v/>
      </c>
      <c r="BB157" s="743" t="str">
        <f t="shared" si="32"/>
        <v/>
      </c>
      <c r="BC157" s="728" t="e">
        <f t="shared" si="41"/>
        <v>#REF!</v>
      </c>
      <c r="BG157" s="732" t="str">
        <f t="shared" si="42"/>
        <v/>
      </c>
      <c r="BH157" s="487" t="str">
        <f t="shared" ref="BH157:BH188" si="47">IF(L40&lt;&gt;"",K40,"")</f>
        <v/>
      </c>
      <c r="BI157" s="487"/>
      <c r="BJ157" s="487"/>
      <c r="BK157" s="720" t="str">
        <f t="shared" ref="BK157:BK188" si="48">IF(L40&lt;&gt;"",MID(L40,7,200),"")</f>
        <v/>
      </c>
      <c r="BL157" s="700"/>
      <c r="BM157" s="732" t="e">
        <f>IF(#REF!&gt;0,#REF!,"")</f>
        <v>#REF!</v>
      </c>
      <c r="BN157" s="732" t="e">
        <f>IF(#REF!&lt;&gt;"",#REF!,"")</f>
        <v>#REF!</v>
      </c>
      <c r="BO157" s="723" t="str">
        <f t="shared" ref="BO157:BO188" si="49">IF(L40&lt;&gt;"",MID(M40,5,100),"")</f>
        <v/>
      </c>
      <c r="BP157" s="734" t="str">
        <f t="shared" si="36"/>
        <v/>
      </c>
      <c r="BQ157" s="736" t="str">
        <f>IF(L40&lt;&gt;"",#REF!,"")</f>
        <v/>
      </c>
      <c r="BR157" s="737" t="str">
        <f t="shared" si="37"/>
        <v/>
      </c>
      <c r="BS157" s="737" t="str">
        <f>IF(L40&lt;&gt;"",#REF!,"")</f>
        <v/>
      </c>
      <c r="BT157" s="738" t="str">
        <f t="shared" si="38"/>
        <v/>
      </c>
      <c r="BU157" s="730" t="e">
        <f t="shared" si="43"/>
        <v>#REF!</v>
      </c>
    </row>
    <row r="158" spans="41:73" ht="24.95" hidden="1" customHeight="1">
      <c r="AO158" s="488" t="str">
        <f t="shared" ref="AO158:AO189" si="50">IF(L41="","",AO157+1)</f>
        <v/>
      </c>
      <c r="AP158" s="488" t="str">
        <f t="shared" si="44"/>
        <v/>
      </c>
      <c r="AQ158" s="488"/>
      <c r="AR158" s="739"/>
      <c r="AS158" s="720" t="str">
        <f t="shared" si="45"/>
        <v/>
      </c>
      <c r="AT158" s="275"/>
      <c r="AU158" s="489" t="e">
        <f>IF(#REF!&gt;0,#REF!,"")</f>
        <v>#REF!</v>
      </c>
      <c r="AV158" s="489" t="e">
        <f>IF(#REF!&lt;&gt;"",#REF!,"")</f>
        <v>#REF!</v>
      </c>
      <c r="AW158" s="723" t="str">
        <f t="shared" si="46"/>
        <v/>
      </c>
      <c r="AX158" s="741" t="str">
        <f t="shared" si="31"/>
        <v/>
      </c>
      <c r="AY158" s="742" t="str">
        <f>IF(L41&lt;&gt;"",#REF!,"")</f>
        <v/>
      </c>
      <c r="AZ158" s="743" t="str">
        <f t="shared" si="40"/>
        <v/>
      </c>
      <c r="BA158" s="742" t="str">
        <f>IF(L41&lt;&gt;"",#REF!,"")</f>
        <v/>
      </c>
      <c r="BB158" s="743" t="str">
        <f t="shared" si="32"/>
        <v/>
      </c>
      <c r="BC158" s="728" t="e">
        <f t="shared" si="41"/>
        <v>#REF!</v>
      </c>
      <c r="BG158" s="732" t="str">
        <f t="shared" ref="BG158:BG189" si="51">IF(L41="","",BG157+1)</f>
        <v/>
      </c>
      <c r="BH158" s="487" t="str">
        <f t="shared" si="47"/>
        <v/>
      </c>
      <c r="BI158" s="487"/>
      <c r="BJ158" s="487"/>
      <c r="BK158" s="720" t="str">
        <f t="shared" si="48"/>
        <v/>
      </c>
      <c r="BL158" s="700"/>
      <c r="BM158" s="732" t="e">
        <f>IF(#REF!&gt;0,#REF!,"")</f>
        <v>#REF!</v>
      </c>
      <c r="BN158" s="732" t="e">
        <f>IF(#REF!&lt;&gt;"",#REF!,"")</f>
        <v>#REF!</v>
      </c>
      <c r="BO158" s="723" t="str">
        <f t="shared" si="49"/>
        <v/>
      </c>
      <c r="BP158" s="734" t="str">
        <f t="shared" si="36"/>
        <v/>
      </c>
      <c r="BQ158" s="736" t="str">
        <f>IF(L41&lt;&gt;"",#REF!,"")</f>
        <v/>
      </c>
      <c r="BR158" s="737" t="str">
        <f t="shared" si="37"/>
        <v/>
      </c>
      <c r="BS158" s="737" t="str">
        <f>IF(L41&lt;&gt;"",#REF!,"")</f>
        <v/>
      </c>
      <c r="BT158" s="738" t="str">
        <f t="shared" si="38"/>
        <v/>
      </c>
      <c r="BU158" s="730" t="e">
        <f t="shared" si="43"/>
        <v>#REF!</v>
      </c>
    </row>
    <row r="159" spans="41:73" ht="24.95" hidden="1" customHeight="1">
      <c r="AO159" s="488" t="str">
        <f t="shared" si="50"/>
        <v/>
      </c>
      <c r="AP159" s="488" t="str">
        <f t="shared" si="44"/>
        <v/>
      </c>
      <c r="AQ159" s="488"/>
      <c r="AR159" s="739"/>
      <c r="AS159" s="720" t="str">
        <f t="shared" si="45"/>
        <v/>
      </c>
      <c r="AT159" s="275"/>
      <c r="AU159" s="489" t="e">
        <f>IF(#REF!&gt;0,#REF!,"")</f>
        <v>#REF!</v>
      </c>
      <c r="AV159" s="489" t="e">
        <f>IF(#REF!&lt;&gt;"",#REF!,"")</f>
        <v>#REF!</v>
      </c>
      <c r="AW159" s="723" t="str">
        <f t="shared" si="46"/>
        <v/>
      </c>
      <c r="AX159" s="741" t="str">
        <f t="shared" si="31"/>
        <v/>
      </c>
      <c r="AY159" s="742" t="str">
        <f>IF(L42&lt;&gt;"",#REF!,"")</f>
        <v/>
      </c>
      <c r="AZ159" s="743" t="str">
        <f t="shared" si="40"/>
        <v/>
      </c>
      <c r="BA159" s="742" t="str">
        <f>IF(L42&lt;&gt;"",#REF!,"")</f>
        <v/>
      </c>
      <c r="BB159" s="743" t="str">
        <f t="shared" si="32"/>
        <v/>
      </c>
      <c r="BC159" s="728" t="e">
        <f t="shared" si="41"/>
        <v>#REF!</v>
      </c>
      <c r="BG159" s="732" t="str">
        <f t="shared" si="51"/>
        <v/>
      </c>
      <c r="BH159" s="487" t="str">
        <f t="shared" si="47"/>
        <v/>
      </c>
      <c r="BI159" s="487"/>
      <c r="BJ159" s="487"/>
      <c r="BK159" s="720" t="str">
        <f t="shared" si="48"/>
        <v/>
      </c>
      <c r="BL159" s="700"/>
      <c r="BM159" s="732" t="e">
        <f>IF(#REF!&gt;0,#REF!,"")</f>
        <v>#REF!</v>
      </c>
      <c r="BN159" s="732" t="e">
        <f>IF(#REF!&lt;&gt;"",#REF!,"")</f>
        <v>#REF!</v>
      </c>
      <c r="BO159" s="723" t="str">
        <f t="shared" si="49"/>
        <v/>
      </c>
      <c r="BP159" s="734" t="str">
        <f t="shared" si="36"/>
        <v/>
      </c>
      <c r="BQ159" s="736" t="str">
        <f>IF(L42&lt;&gt;"",#REF!,"")</f>
        <v/>
      </c>
      <c r="BR159" s="737" t="str">
        <f t="shared" si="37"/>
        <v/>
      </c>
      <c r="BS159" s="737" t="str">
        <f>IF(L42&lt;&gt;"",#REF!,"")</f>
        <v/>
      </c>
      <c r="BT159" s="738" t="str">
        <f t="shared" si="38"/>
        <v/>
      </c>
      <c r="BU159" s="730" t="e">
        <f t="shared" si="43"/>
        <v>#REF!</v>
      </c>
    </row>
    <row r="160" spans="41:73" ht="24.95" hidden="1" customHeight="1">
      <c r="AO160" s="488" t="str">
        <f t="shared" si="50"/>
        <v/>
      </c>
      <c r="AP160" s="488" t="str">
        <f t="shared" si="44"/>
        <v/>
      </c>
      <c r="AQ160" s="488"/>
      <c r="AR160" s="739"/>
      <c r="AS160" s="720" t="str">
        <f t="shared" si="45"/>
        <v/>
      </c>
      <c r="AT160" s="275"/>
      <c r="AU160" s="489" t="e">
        <f>IF(#REF!&gt;0,#REF!,"")</f>
        <v>#REF!</v>
      </c>
      <c r="AV160" s="489" t="e">
        <f>IF(#REF!&lt;&gt;"",#REF!,"")</f>
        <v>#REF!</v>
      </c>
      <c r="AW160" s="723" t="str">
        <f t="shared" si="46"/>
        <v/>
      </c>
      <c r="AX160" s="741" t="str">
        <f t="shared" si="31"/>
        <v/>
      </c>
      <c r="AY160" s="742" t="str">
        <f>IF(L43&lt;&gt;"",#REF!,"")</f>
        <v/>
      </c>
      <c r="AZ160" s="743" t="str">
        <f t="shared" si="40"/>
        <v/>
      </c>
      <c r="BA160" s="742" t="str">
        <f>IF(L43&lt;&gt;"",#REF!,"")</f>
        <v/>
      </c>
      <c r="BB160" s="743" t="str">
        <f t="shared" si="32"/>
        <v/>
      </c>
      <c r="BC160" s="728" t="e">
        <f t="shared" si="41"/>
        <v>#REF!</v>
      </c>
      <c r="BG160" s="732" t="str">
        <f t="shared" si="51"/>
        <v/>
      </c>
      <c r="BH160" s="487" t="str">
        <f t="shared" si="47"/>
        <v/>
      </c>
      <c r="BI160" s="487"/>
      <c r="BJ160" s="487"/>
      <c r="BK160" s="720" t="str">
        <f t="shared" si="48"/>
        <v/>
      </c>
      <c r="BL160" s="700"/>
      <c r="BM160" s="732" t="e">
        <f>IF(#REF!&gt;0,#REF!,"")</f>
        <v>#REF!</v>
      </c>
      <c r="BN160" s="732" t="e">
        <f>IF(#REF!&lt;&gt;"",#REF!,"")</f>
        <v>#REF!</v>
      </c>
      <c r="BO160" s="723" t="str">
        <f t="shared" si="49"/>
        <v/>
      </c>
      <c r="BP160" s="734" t="str">
        <f t="shared" si="36"/>
        <v/>
      </c>
      <c r="BQ160" s="736" t="str">
        <f>IF(L43&lt;&gt;"",#REF!,"")</f>
        <v/>
      </c>
      <c r="BR160" s="737" t="str">
        <f t="shared" si="37"/>
        <v/>
      </c>
      <c r="BS160" s="737" t="str">
        <f>IF(L43&lt;&gt;"",#REF!,"")</f>
        <v/>
      </c>
      <c r="BT160" s="738" t="str">
        <f t="shared" si="38"/>
        <v/>
      </c>
      <c r="BU160" s="730" t="e">
        <f t="shared" si="43"/>
        <v>#REF!</v>
      </c>
    </row>
    <row r="161" spans="41:73" ht="24.95" hidden="1" customHeight="1">
      <c r="AO161" s="488" t="str">
        <f t="shared" si="50"/>
        <v/>
      </c>
      <c r="AP161" s="488" t="str">
        <f t="shared" si="44"/>
        <v/>
      </c>
      <c r="AQ161" s="488"/>
      <c r="AR161" s="739"/>
      <c r="AS161" s="720" t="str">
        <f t="shared" si="45"/>
        <v/>
      </c>
      <c r="AT161" s="275"/>
      <c r="AU161" s="489" t="e">
        <f>IF(#REF!&gt;0,#REF!,"")</f>
        <v>#REF!</v>
      </c>
      <c r="AV161" s="489" t="e">
        <f>IF(#REF!&lt;&gt;"",#REF!,"")</f>
        <v>#REF!</v>
      </c>
      <c r="AW161" s="723" t="str">
        <f t="shared" si="46"/>
        <v/>
      </c>
      <c r="AX161" s="741" t="str">
        <f t="shared" si="31"/>
        <v/>
      </c>
      <c r="AY161" s="742" t="str">
        <f>IF(L44&lt;&gt;"",#REF!,"")</f>
        <v/>
      </c>
      <c r="AZ161" s="743" t="str">
        <f t="shared" si="40"/>
        <v/>
      </c>
      <c r="BA161" s="742" t="str">
        <f>IF(L44&lt;&gt;"",#REF!,"")</f>
        <v/>
      </c>
      <c r="BB161" s="743" t="str">
        <f t="shared" si="32"/>
        <v/>
      </c>
      <c r="BC161" s="728" t="e">
        <f t="shared" si="41"/>
        <v>#REF!</v>
      </c>
      <c r="BG161" s="732" t="str">
        <f t="shared" si="51"/>
        <v/>
      </c>
      <c r="BH161" s="487" t="str">
        <f t="shared" si="47"/>
        <v/>
      </c>
      <c r="BI161" s="487"/>
      <c r="BJ161" s="487"/>
      <c r="BK161" s="720" t="str">
        <f t="shared" si="48"/>
        <v/>
      </c>
      <c r="BL161" s="700"/>
      <c r="BM161" s="732" t="e">
        <f>IF(#REF!&gt;0,#REF!,"")</f>
        <v>#REF!</v>
      </c>
      <c r="BN161" s="732" t="e">
        <f>IF(#REF!&lt;&gt;"",#REF!,"")</f>
        <v>#REF!</v>
      </c>
      <c r="BO161" s="723" t="str">
        <f t="shared" si="49"/>
        <v/>
      </c>
      <c r="BP161" s="734" t="str">
        <f t="shared" si="36"/>
        <v/>
      </c>
      <c r="BQ161" s="736" t="str">
        <f>IF(L44&lt;&gt;"",#REF!,"")</f>
        <v/>
      </c>
      <c r="BR161" s="737" t="str">
        <f t="shared" si="37"/>
        <v/>
      </c>
      <c r="BS161" s="737" t="str">
        <f>IF(L44&lt;&gt;"",#REF!,"")</f>
        <v/>
      </c>
      <c r="BT161" s="738" t="str">
        <f t="shared" si="38"/>
        <v/>
      </c>
      <c r="BU161" s="730" t="e">
        <f t="shared" si="43"/>
        <v>#REF!</v>
      </c>
    </row>
    <row r="162" spans="41:73" ht="24.95" hidden="1" customHeight="1">
      <c r="AO162" s="488" t="str">
        <f t="shared" si="50"/>
        <v/>
      </c>
      <c r="AP162" s="488" t="str">
        <f t="shared" si="44"/>
        <v/>
      </c>
      <c r="AQ162" s="488"/>
      <c r="AR162" s="739"/>
      <c r="AS162" s="720" t="str">
        <f t="shared" si="45"/>
        <v/>
      </c>
      <c r="AT162" s="275"/>
      <c r="AU162" s="489" t="e">
        <f>IF(#REF!&gt;0,#REF!,"")</f>
        <v>#REF!</v>
      </c>
      <c r="AV162" s="489" t="e">
        <f>IF(#REF!&lt;&gt;"",#REF!,"")</f>
        <v>#REF!</v>
      </c>
      <c r="AW162" s="723" t="str">
        <f t="shared" si="46"/>
        <v/>
      </c>
      <c r="AX162" s="741" t="str">
        <f t="shared" si="31"/>
        <v/>
      </c>
      <c r="AY162" s="742" t="str">
        <f>IF(L45&lt;&gt;"",#REF!,"")</f>
        <v/>
      </c>
      <c r="AZ162" s="743" t="str">
        <f t="shared" si="40"/>
        <v/>
      </c>
      <c r="BA162" s="742" t="str">
        <f>IF(L45&lt;&gt;"",#REF!,"")</f>
        <v/>
      </c>
      <c r="BB162" s="743" t="str">
        <f t="shared" si="32"/>
        <v/>
      </c>
      <c r="BC162" s="728" t="e">
        <f t="shared" si="41"/>
        <v>#REF!</v>
      </c>
      <c r="BG162" s="732" t="str">
        <f t="shared" si="51"/>
        <v/>
      </c>
      <c r="BH162" s="487" t="str">
        <f t="shared" si="47"/>
        <v/>
      </c>
      <c r="BI162" s="487"/>
      <c r="BJ162" s="487"/>
      <c r="BK162" s="720" t="str">
        <f t="shared" si="48"/>
        <v/>
      </c>
      <c r="BL162" s="700"/>
      <c r="BM162" s="732" t="e">
        <f>IF(#REF!&gt;0,#REF!,"")</f>
        <v>#REF!</v>
      </c>
      <c r="BN162" s="732" t="e">
        <f>IF(#REF!&lt;&gt;"",#REF!,"")</f>
        <v>#REF!</v>
      </c>
      <c r="BO162" s="723" t="str">
        <f t="shared" si="49"/>
        <v/>
      </c>
      <c r="BP162" s="734" t="str">
        <f t="shared" si="36"/>
        <v/>
      </c>
      <c r="BQ162" s="736" t="str">
        <f>IF(L45&lt;&gt;"",#REF!,"")</f>
        <v/>
      </c>
      <c r="BR162" s="737" t="str">
        <f t="shared" si="37"/>
        <v/>
      </c>
      <c r="BS162" s="737" t="str">
        <f>IF(L45&lt;&gt;"",#REF!,"")</f>
        <v/>
      </c>
      <c r="BT162" s="738" t="str">
        <f t="shared" si="38"/>
        <v/>
      </c>
      <c r="BU162" s="730" t="e">
        <f t="shared" si="43"/>
        <v>#REF!</v>
      </c>
    </row>
    <row r="163" spans="41:73" ht="24.95" hidden="1" customHeight="1">
      <c r="AO163" s="488" t="str">
        <f t="shared" si="50"/>
        <v/>
      </c>
      <c r="AP163" s="488" t="str">
        <f t="shared" si="44"/>
        <v/>
      </c>
      <c r="AQ163" s="488"/>
      <c r="AR163" s="739"/>
      <c r="AS163" s="720" t="str">
        <f t="shared" si="45"/>
        <v/>
      </c>
      <c r="AT163" s="275"/>
      <c r="AU163" s="489" t="e">
        <f>IF(#REF!&gt;0,#REF!,"")</f>
        <v>#REF!</v>
      </c>
      <c r="AV163" s="489" t="e">
        <f>IF(#REF!&lt;&gt;"",#REF!,"")</f>
        <v>#REF!</v>
      </c>
      <c r="AW163" s="723" t="str">
        <f t="shared" si="46"/>
        <v/>
      </c>
      <c r="AX163" s="741" t="str">
        <f t="shared" si="31"/>
        <v/>
      </c>
      <c r="AY163" s="742" t="str">
        <f>IF(L46&lt;&gt;"",#REF!,"")</f>
        <v/>
      </c>
      <c r="AZ163" s="743" t="str">
        <f t="shared" si="40"/>
        <v/>
      </c>
      <c r="BA163" s="742" t="str">
        <f>IF(L46&lt;&gt;"",#REF!,"")</f>
        <v/>
      </c>
      <c r="BB163" s="743" t="str">
        <f t="shared" si="32"/>
        <v/>
      </c>
      <c r="BC163" s="728" t="e">
        <f t="shared" si="41"/>
        <v>#REF!</v>
      </c>
      <c r="BG163" s="732" t="str">
        <f t="shared" si="51"/>
        <v/>
      </c>
      <c r="BH163" s="487" t="str">
        <f t="shared" si="47"/>
        <v/>
      </c>
      <c r="BI163" s="487"/>
      <c r="BJ163" s="487"/>
      <c r="BK163" s="720" t="str">
        <f t="shared" si="48"/>
        <v/>
      </c>
      <c r="BL163" s="700"/>
      <c r="BM163" s="732" t="e">
        <f>IF(#REF!&gt;0,#REF!,"")</f>
        <v>#REF!</v>
      </c>
      <c r="BN163" s="732" t="e">
        <f>IF(#REF!&lt;&gt;"",#REF!,"")</f>
        <v>#REF!</v>
      </c>
      <c r="BO163" s="723" t="str">
        <f t="shared" si="49"/>
        <v/>
      </c>
      <c r="BP163" s="734" t="str">
        <f t="shared" si="36"/>
        <v/>
      </c>
      <c r="BQ163" s="736" t="str">
        <f>IF(L46&lt;&gt;"",#REF!,"")</f>
        <v/>
      </c>
      <c r="BR163" s="737" t="str">
        <f t="shared" si="37"/>
        <v/>
      </c>
      <c r="BS163" s="737" t="str">
        <f>IF(L46&lt;&gt;"",#REF!,"")</f>
        <v/>
      </c>
      <c r="BT163" s="738" t="str">
        <f t="shared" si="38"/>
        <v/>
      </c>
      <c r="BU163" s="730" t="e">
        <f t="shared" si="43"/>
        <v>#REF!</v>
      </c>
    </row>
    <row r="164" spans="41:73" ht="24.95" hidden="1" customHeight="1">
      <c r="AO164" s="488" t="str">
        <f t="shared" si="50"/>
        <v/>
      </c>
      <c r="AP164" s="488" t="str">
        <f t="shared" si="44"/>
        <v/>
      </c>
      <c r="AQ164" s="488"/>
      <c r="AR164" s="739"/>
      <c r="AS164" s="720" t="str">
        <f t="shared" si="45"/>
        <v/>
      </c>
      <c r="AT164" s="275"/>
      <c r="AU164" s="489" t="e">
        <f>IF(#REF!&gt;0,#REF!,"")</f>
        <v>#REF!</v>
      </c>
      <c r="AV164" s="489" t="e">
        <f>IF(#REF!&lt;&gt;"",#REF!,"")</f>
        <v>#REF!</v>
      </c>
      <c r="AW164" s="723" t="str">
        <f t="shared" si="46"/>
        <v/>
      </c>
      <c r="AX164" s="741" t="str">
        <f t="shared" si="31"/>
        <v/>
      </c>
      <c r="AY164" s="742" t="str">
        <f>IF(L47&lt;&gt;"",#REF!,"")</f>
        <v/>
      </c>
      <c r="AZ164" s="743" t="str">
        <f t="shared" si="40"/>
        <v/>
      </c>
      <c r="BA164" s="742" t="str">
        <f>IF(L47&lt;&gt;"",#REF!,"")</f>
        <v/>
      </c>
      <c r="BB164" s="743" t="str">
        <f t="shared" si="32"/>
        <v/>
      </c>
      <c r="BC164" s="728" t="e">
        <f t="shared" si="41"/>
        <v>#REF!</v>
      </c>
      <c r="BG164" s="732" t="str">
        <f t="shared" si="51"/>
        <v/>
      </c>
      <c r="BH164" s="487" t="str">
        <f t="shared" si="47"/>
        <v/>
      </c>
      <c r="BI164" s="487"/>
      <c r="BJ164" s="487"/>
      <c r="BK164" s="720" t="str">
        <f t="shared" si="48"/>
        <v/>
      </c>
      <c r="BL164" s="700"/>
      <c r="BM164" s="732" t="e">
        <f>IF(#REF!&gt;0,#REF!,"")</f>
        <v>#REF!</v>
      </c>
      <c r="BN164" s="732" t="e">
        <f>IF(#REF!&lt;&gt;"",#REF!,"")</f>
        <v>#REF!</v>
      </c>
      <c r="BO164" s="723" t="str">
        <f t="shared" si="49"/>
        <v/>
      </c>
      <c r="BP164" s="734" t="str">
        <f t="shared" si="36"/>
        <v/>
      </c>
      <c r="BQ164" s="736" t="str">
        <f>IF(L47&lt;&gt;"",#REF!,"")</f>
        <v/>
      </c>
      <c r="BR164" s="737" t="str">
        <f t="shared" si="37"/>
        <v/>
      </c>
      <c r="BS164" s="737" t="str">
        <f>IF(L47&lt;&gt;"",#REF!,"")</f>
        <v/>
      </c>
      <c r="BT164" s="738" t="str">
        <f t="shared" si="38"/>
        <v/>
      </c>
      <c r="BU164" s="730" t="e">
        <f t="shared" si="43"/>
        <v>#REF!</v>
      </c>
    </row>
    <row r="165" spans="41:73" ht="24.95" hidden="1" customHeight="1">
      <c r="AO165" s="488" t="str">
        <f t="shared" si="50"/>
        <v/>
      </c>
      <c r="AP165" s="488" t="str">
        <f t="shared" si="44"/>
        <v/>
      </c>
      <c r="AQ165" s="488"/>
      <c r="AR165" s="739"/>
      <c r="AS165" s="720" t="str">
        <f t="shared" si="45"/>
        <v/>
      </c>
      <c r="AT165" s="275"/>
      <c r="AU165" s="489" t="e">
        <f>IF(#REF!&gt;0,#REF!,"")</f>
        <v>#REF!</v>
      </c>
      <c r="AV165" s="489" t="e">
        <f>IF(#REF!&lt;&gt;"",#REF!,"")</f>
        <v>#REF!</v>
      </c>
      <c r="AW165" s="723" t="str">
        <f t="shared" si="46"/>
        <v/>
      </c>
      <c r="AX165" s="741" t="str">
        <f t="shared" si="31"/>
        <v/>
      </c>
      <c r="AY165" s="742" t="str">
        <f>IF(L48&lt;&gt;"",#REF!,"")</f>
        <v/>
      </c>
      <c r="AZ165" s="743" t="str">
        <f t="shared" si="40"/>
        <v/>
      </c>
      <c r="BA165" s="742" t="str">
        <f>IF(L48&lt;&gt;"",#REF!,"")</f>
        <v/>
      </c>
      <c r="BB165" s="743" t="str">
        <f t="shared" si="32"/>
        <v/>
      </c>
      <c r="BC165" s="728" t="e">
        <f t="shared" si="41"/>
        <v>#REF!</v>
      </c>
      <c r="BG165" s="732" t="str">
        <f t="shared" si="51"/>
        <v/>
      </c>
      <c r="BH165" s="487" t="str">
        <f t="shared" si="47"/>
        <v/>
      </c>
      <c r="BI165" s="487"/>
      <c r="BJ165" s="487"/>
      <c r="BK165" s="720" t="str">
        <f t="shared" si="48"/>
        <v/>
      </c>
      <c r="BL165" s="700"/>
      <c r="BM165" s="732" t="e">
        <f>IF(#REF!&gt;0,#REF!,"")</f>
        <v>#REF!</v>
      </c>
      <c r="BN165" s="732" t="e">
        <f>IF(#REF!&lt;&gt;"",#REF!,"")</f>
        <v>#REF!</v>
      </c>
      <c r="BO165" s="723" t="str">
        <f t="shared" si="49"/>
        <v/>
      </c>
      <c r="BP165" s="734" t="str">
        <f t="shared" si="36"/>
        <v/>
      </c>
      <c r="BQ165" s="736" t="str">
        <f>IF(L48&lt;&gt;"",#REF!,"")</f>
        <v/>
      </c>
      <c r="BR165" s="737" t="str">
        <f t="shared" si="37"/>
        <v/>
      </c>
      <c r="BS165" s="737" t="str">
        <f>IF(L48&lt;&gt;"",#REF!,"")</f>
        <v/>
      </c>
      <c r="BT165" s="738" t="str">
        <f t="shared" si="38"/>
        <v/>
      </c>
      <c r="BU165" s="730" t="e">
        <f t="shared" si="43"/>
        <v>#REF!</v>
      </c>
    </row>
    <row r="166" spans="41:73" ht="24.95" hidden="1" customHeight="1">
      <c r="AO166" s="488" t="str">
        <f t="shared" si="50"/>
        <v/>
      </c>
      <c r="AP166" s="488" t="str">
        <f t="shared" si="44"/>
        <v/>
      </c>
      <c r="AQ166" s="488"/>
      <c r="AR166" s="739"/>
      <c r="AS166" s="720" t="str">
        <f t="shared" si="45"/>
        <v/>
      </c>
      <c r="AT166" s="275"/>
      <c r="AU166" s="489" t="e">
        <f>IF(#REF!&gt;0,#REF!,"")</f>
        <v>#REF!</v>
      </c>
      <c r="AV166" s="489" t="e">
        <f>IF(#REF!&lt;&gt;"",#REF!,"")</f>
        <v>#REF!</v>
      </c>
      <c r="AW166" s="723" t="str">
        <f t="shared" si="46"/>
        <v/>
      </c>
      <c r="AX166" s="741" t="str">
        <f t="shared" si="31"/>
        <v/>
      </c>
      <c r="AY166" s="742" t="str">
        <f>IF(L49&lt;&gt;"",#REF!,"")</f>
        <v/>
      </c>
      <c r="AZ166" s="743" t="str">
        <f t="shared" si="40"/>
        <v/>
      </c>
      <c r="BA166" s="742" t="str">
        <f>IF(L49&lt;&gt;"",#REF!,"")</f>
        <v/>
      </c>
      <c r="BB166" s="743" t="str">
        <f t="shared" si="32"/>
        <v/>
      </c>
      <c r="BC166" s="728" t="e">
        <f t="shared" si="41"/>
        <v>#REF!</v>
      </c>
      <c r="BG166" s="732" t="str">
        <f t="shared" si="51"/>
        <v/>
      </c>
      <c r="BH166" s="487" t="str">
        <f t="shared" si="47"/>
        <v/>
      </c>
      <c r="BI166" s="487"/>
      <c r="BJ166" s="487"/>
      <c r="BK166" s="720" t="str">
        <f t="shared" si="48"/>
        <v/>
      </c>
      <c r="BL166" s="700"/>
      <c r="BM166" s="732" t="e">
        <f>IF(#REF!&gt;0,#REF!,"")</f>
        <v>#REF!</v>
      </c>
      <c r="BN166" s="732" t="e">
        <f>IF(#REF!&lt;&gt;"",#REF!,"")</f>
        <v>#REF!</v>
      </c>
      <c r="BO166" s="723" t="str">
        <f t="shared" si="49"/>
        <v/>
      </c>
      <c r="BP166" s="734" t="str">
        <f t="shared" si="36"/>
        <v/>
      </c>
      <c r="BQ166" s="736" t="str">
        <f>IF(L49&lt;&gt;"",#REF!,"")</f>
        <v/>
      </c>
      <c r="BR166" s="737" t="str">
        <f t="shared" si="37"/>
        <v/>
      </c>
      <c r="BS166" s="737" t="str">
        <f>IF(L49&lt;&gt;"",#REF!,"")</f>
        <v/>
      </c>
      <c r="BT166" s="738" t="str">
        <f t="shared" si="38"/>
        <v/>
      </c>
      <c r="BU166" s="730" t="e">
        <f t="shared" si="43"/>
        <v>#REF!</v>
      </c>
    </row>
    <row r="167" spans="41:73" ht="24.95" hidden="1" customHeight="1">
      <c r="AO167" s="488" t="str">
        <f t="shared" si="50"/>
        <v/>
      </c>
      <c r="AP167" s="488" t="str">
        <f t="shared" si="44"/>
        <v/>
      </c>
      <c r="AQ167" s="488"/>
      <c r="AR167" s="739"/>
      <c r="AS167" s="720" t="str">
        <f t="shared" si="45"/>
        <v/>
      </c>
      <c r="AT167" s="275"/>
      <c r="AU167" s="489" t="e">
        <f>IF(#REF!&gt;0,#REF!,"")</f>
        <v>#REF!</v>
      </c>
      <c r="AV167" s="489" t="e">
        <f>IF(#REF!&lt;&gt;"",#REF!,"")</f>
        <v>#REF!</v>
      </c>
      <c r="AW167" s="723" t="str">
        <f t="shared" si="46"/>
        <v/>
      </c>
      <c r="AX167" s="741" t="str">
        <f t="shared" si="31"/>
        <v/>
      </c>
      <c r="AY167" s="742" t="str">
        <f>IF(L50&lt;&gt;"",#REF!,"")</f>
        <v/>
      </c>
      <c r="AZ167" s="743" t="str">
        <f t="shared" si="40"/>
        <v/>
      </c>
      <c r="BA167" s="742" t="str">
        <f>IF(L50&lt;&gt;"",#REF!,"")</f>
        <v/>
      </c>
      <c r="BB167" s="743" t="str">
        <f t="shared" si="32"/>
        <v/>
      </c>
      <c r="BC167" s="728" t="e">
        <f t="shared" si="41"/>
        <v>#REF!</v>
      </c>
      <c r="BG167" s="732" t="str">
        <f t="shared" si="51"/>
        <v/>
      </c>
      <c r="BH167" s="487" t="str">
        <f t="shared" si="47"/>
        <v/>
      </c>
      <c r="BI167" s="487"/>
      <c r="BJ167" s="487"/>
      <c r="BK167" s="720" t="str">
        <f t="shared" si="48"/>
        <v/>
      </c>
      <c r="BL167" s="700"/>
      <c r="BM167" s="732" t="e">
        <f>IF(#REF!&gt;0,#REF!,"")</f>
        <v>#REF!</v>
      </c>
      <c r="BN167" s="732" t="e">
        <f>IF(#REF!&lt;&gt;"",#REF!,"")</f>
        <v>#REF!</v>
      </c>
      <c r="BO167" s="723" t="str">
        <f t="shared" si="49"/>
        <v/>
      </c>
      <c r="BP167" s="734" t="str">
        <f t="shared" si="36"/>
        <v/>
      </c>
      <c r="BQ167" s="736" t="str">
        <f>IF(L50&lt;&gt;"",#REF!,"")</f>
        <v/>
      </c>
      <c r="BR167" s="737" t="str">
        <f t="shared" si="37"/>
        <v/>
      </c>
      <c r="BS167" s="737" t="str">
        <f>IF(L50&lt;&gt;"",#REF!,"")</f>
        <v/>
      </c>
      <c r="BT167" s="738" t="str">
        <f t="shared" si="38"/>
        <v/>
      </c>
      <c r="BU167" s="730" t="e">
        <f t="shared" si="43"/>
        <v>#REF!</v>
      </c>
    </row>
    <row r="168" spans="41:73" ht="24.95" hidden="1" customHeight="1">
      <c r="AO168" s="488" t="str">
        <f t="shared" si="50"/>
        <v/>
      </c>
      <c r="AP168" s="488" t="str">
        <f t="shared" si="44"/>
        <v/>
      </c>
      <c r="AQ168" s="488"/>
      <c r="AR168" s="739"/>
      <c r="AS168" s="720" t="str">
        <f t="shared" si="45"/>
        <v/>
      </c>
      <c r="AT168" s="275"/>
      <c r="AU168" s="489" t="e">
        <f>IF(#REF!&gt;0,#REF!,"")</f>
        <v>#REF!</v>
      </c>
      <c r="AV168" s="489" t="e">
        <f>IF(#REF!&lt;&gt;"",#REF!,"")</f>
        <v>#REF!</v>
      </c>
      <c r="AW168" s="723" t="str">
        <f t="shared" si="46"/>
        <v/>
      </c>
      <c r="AX168" s="741" t="str">
        <f t="shared" si="31"/>
        <v/>
      </c>
      <c r="AY168" s="742" t="str">
        <f>IF(L51&lt;&gt;"",#REF!,"")</f>
        <v/>
      </c>
      <c r="AZ168" s="743" t="str">
        <f t="shared" si="40"/>
        <v/>
      </c>
      <c r="BA168" s="742" t="str">
        <f>IF(L51&lt;&gt;"",#REF!,"")</f>
        <v/>
      </c>
      <c r="BB168" s="743" t="str">
        <f t="shared" si="32"/>
        <v/>
      </c>
      <c r="BC168" s="728" t="e">
        <f t="shared" si="41"/>
        <v>#REF!</v>
      </c>
      <c r="BG168" s="732" t="str">
        <f t="shared" si="51"/>
        <v/>
      </c>
      <c r="BH168" s="487" t="str">
        <f t="shared" si="47"/>
        <v/>
      </c>
      <c r="BI168" s="487"/>
      <c r="BJ168" s="487"/>
      <c r="BK168" s="720" t="str">
        <f t="shared" si="48"/>
        <v/>
      </c>
      <c r="BL168" s="700"/>
      <c r="BM168" s="732" t="e">
        <f>IF(#REF!&gt;0,#REF!,"")</f>
        <v>#REF!</v>
      </c>
      <c r="BN168" s="732" t="e">
        <f>IF(#REF!&lt;&gt;"",#REF!,"")</f>
        <v>#REF!</v>
      </c>
      <c r="BO168" s="723" t="str">
        <f t="shared" si="49"/>
        <v/>
      </c>
      <c r="BP168" s="734" t="str">
        <f t="shared" si="36"/>
        <v/>
      </c>
      <c r="BQ168" s="736" t="str">
        <f>IF(L51&lt;&gt;"",#REF!,"")</f>
        <v/>
      </c>
      <c r="BR168" s="737" t="str">
        <f t="shared" si="37"/>
        <v/>
      </c>
      <c r="BS168" s="737" t="str">
        <f>IF(L51&lt;&gt;"",#REF!,"")</f>
        <v/>
      </c>
      <c r="BT168" s="738" t="str">
        <f t="shared" si="38"/>
        <v/>
      </c>
      <c r="BU168" s="730" t="e">
        <f t="shared" si="43"/>
        <v>#REF!</v>
      </c>
    </row>
    <row r="169" spans="41:73" ht="24.95" hidden="1" customHeight="1">
      <c r="AO169" s="488" t="str">
        <f t="shared" si="50"/>
        <v/>
      </c>
      <c r="AP169" s="488" t="str">
        <f t="shared" si="44"/>
        <v/>
      </c>
      <c r="AQ169" s="488"/>
      <c r="AR169" s="739"/>
      <c r="AS169" s="720" t="str">
        <f t="shared" si="45"/>
        <v/>
      </c>
      <c r="AT169" s="275"/>
      <c r="AU169" s="489" t="e">
        <f>IF(#REF!&gt;0,#REF!,"")</f>
        <v>#REF!</v>
      </c>
      <c r="AV169" s="489" t="e">
        <f>IF(#REF!&lt;&gt;"",#REF!,"")</f>
        <v>#REF!</v>
      </c>
      <c r="AW169" s="723" t="str">
        <f t="shared" si="46"/>
        <v/>
      </c>
      <c r="AX169" s="741" t="str">
        <f t="shared" si="31"/>
        <v/>
      </c>
      <c r="AY169" s="742" t="str">
        <f>IF(L52&lt;&gt;"",#REF!,"")</f>
        <v/>
      </c>
      <c r="AZ169" s="743" t="str">
        <f t="shared" si="40"/>
        <v/>
      </c>
      <c r="BA169" s="742" t="str">
        <f>IF(L52&lt;&gt;"",#REF!,"")</f>
        <v/>
      </c>
      <c r="BB169" s="743" t="str">
        <f t="shared" si="32"/>
        <v/>
      </c>
      <c r="BC169" s="728" t="e">
        <f t="shared" si="41"/>
        <v>#REF!</v>
      </c>
      <c r="BG169" s="732" t="str">
        <f t="shared" si="51"/>
        <v/>
      </c>
      <c r="BH169" s="487" t="str">
        <f t="shared" si="47"/>
        <v/>
      </c>
      <c r="BI169" s="487"/>
      <c r="BJ169" s="487"/>
      <c r="BK169" s="720" t="str">
        <f t="shared" si="48"/>
        <v/>
      </c>
      <c r="BL169" s="700"/>
      <c r="BM169" s="732" t="e">
        <f>IF(#REF!&gt;0,#REF!,"")</f>
        <v>#REF!</v>
      </c>
      <c r="BN169" s="732" t="e">
        <f>IF(#REF!&lt;&gt;"",#REF!,"")</f>
        <v>#REF!</v>
      </c>
      <c r="BO169" s="723" t="str">
        <f t="shared" si="49"/>
        <v/>
      </c>
      <c r="BP169" s="734" t="str">
        <f t="shared" si="36"/>
        <v/>
      </c>
      <c r="BQ169" s="736" t="str">
        <f>IF(L52&lt;&gt;"",#REF!,"")</f>
        <v/>
      </c>
      <c r="BR169" s="737" t="str">
        <f t="shared" si="37"/>
        <v/>
      </c>
      <c r="BS169" s="737" t="str">
        <f>IF(L52&lt;&gt;"",#REF!,"")</f>
        <v/>
      </c>
      <c r="BT169" s="738" t="str">
        <f t="shared" si="38"/>
        <v/>
      </c>
      <c r="BU169" s="730" t="e">
        <f t="shared" si="43"/>
        <v>#REF!</v>
      </c>
    </row>
    <row r="170" spans="41:73" ht="24.95" hidden="1" customHeight="1">
      <c r="AO170" s="488" t="str">
        <f t="shared" si="50"/>
        <v/>
      </c>
      <c r="AP170" s="488" t="str">
        <f t="shared" si="44"/>
        <v/>
      </c>
      <c r="AQ170" s="488"/>
      <c r="AR170" s="739"/>
      <c r="AS170" s="720" t="str">
        <f t="shared" si="45"/>
        <v/>
      </c>
      <c r="AT170" s="275"/>
      <c r="AU170" s="489" t="e">
        <f>IF(#REF!&gt;0,#REF!,"")</f>
        <v>#REF!</v>
      </c>
      <c r="AV170" s="489" t="e">
        <f>IF(#REF!&lt;&gt;"",#REF!,"")</f>
        <v>#REF!</v>
      </c>
      <c r="AW170" s="723" t="str">
        <f t="shared" si="46"/>
        <v/>
      </c>
      <c r="AX170" s="741" t="str">
        <f t="shared" si="31"/>
        <v/>
      </c>
      <c r="AY170" s="742" t="str">
        <f>IF(L53&lt;&gt;"",#REF!,"")</f>
        <v/>
      </c>
      <c r="AZ170" s="743" t="str">
        <f t="shared" si="40"/>
        <v/>
      </c>
      <c r="BA170" s="742" t="str">
        <f>IF(L53&lt;&gt;"",#REF!,"")</f>
        <v/>
      </c>
      <c r="BB170" s="743" t="str">
        <f t="shared" si="32"/>
        <v/>
      </c>
      <c r="BC170" s="728" t="e">
        <f t="shared" si="41"/>
        <v>#REF!</v>
      </c>
      <c r="BG170" s="732" t="str">
        <f t="shared" si="51"/>
        <v/>
      </c>
      <c r="BH170" s="487" t="str">
        <f t="shared" si="47"/>
        <v/>
      </c>
      <c r="BI170" s="487"/>
      <c r="BJ170" s="487"/>
      <c r="BK170" s="720" t="str">
        <f t="shared" si="48"/>
        <v/>
      </c>
      <c r="BL170" s="700"/>
      <c r="BM170" s="732" t="e">
        <f>IF(#REF!&gt;0,#REF!,"")</f>
        <v>#REF!</v>
      </c>
      <c r="BN170" s="732" t="e">
        <f>IF(#REF!&lt;&gt;"",#REF!,"")</f>
        <v>#REF!</v>
      </c>
      <c r="BO170" s="723" t="str">
        <f t="shared" si="49"/>
        <v/>
      </c>
      <c r="BP170" s="734" t="str">
        <f t="shared" si="36"/>
        <v/>
      </c>
      <c r="BQ170" s="736" t="str">
        <f>IF(L53&lt;&gt;"",#REF!,"")</f>
        <v/>
      </c>
      <c r="BR170" s="737" t="str">
        <f t="shared" si="37"/>
        <v/>
      </c>
      <c r="BS170" s="737" t="str">
        <f>IF(L53&lt;&gt;"",#REF!,"")</f>
        <v/>
      </c>
      <c r="BT170" s="738" t="str">
        <f t="shared" si="38"/>
        <v/>
      </c>
      <c r="BU170" s="730" t="e">
        <f t="shared" si="43"/>
        <v>#REF!</v>
      </c>
    </row>
    <row r="171" spans="41:73" ht="24.95" hidden="1" customHeight="1">
      <c r="AO171" s="488" t="str">
        <f t="shared" si="50"/>
        <v/>
      </c>
      <c r="AP171" s="488" t="str">
        <f t="shared" si="44"/>
        <v/>
      </c>
      <c r="AQ171" s="488"/>
      <c r="AR171" s="739"/>
      <c r="AS171" s="720" t="str">
        <f t="shared" si="45"/>
        <v/>
      </c>
      <c r="AT171" s="275"/>
      <c r="AU171" s="489" t="e">
        <f>IF(#REF!&gt;0,#REF!,"")</f>
        <v>#REF!</v>
      </c>
      <c r="AV171" s="489" t="e">
        <f>IF(#REF!&lt;&gt;"",#REF!,"")</f>
        <v>#REF!</v>
      </c>
      <c r="AW171" s="723" t="str">
        <f t="shared" si="46"/>
        <v/>
      </c>
      <c r="AX171" s="741" t="str">
        <f t="shared" si="31"/>
        <v/>
      </c>
      <c r="AY171" s="742" t="str">
        <f>IF(L54&lt;&gt;"",#REF!,"")</f>
        <v/>
      </c>
      <c r="AZ171" s="743" t="str">
        <f t="shared" si="40"/>
        <v/>
      </c>
      <c r="BA171" s="742" t="str">
        <f>IF(L54&lt;&gt;"",#REF!,"")</f>
        <v/>
      </c>
      <c r="BB171" s="743" t="str">
        <f t="shared" si="32"/>
        <v/>
      </c>
      <c r="BC171" s="728" t="e">
        <f t="shared" si="41"/>
        <v>#REF!</v>
      </c>
      <c r="BG171" s="732" t="str">
        <f t="shared" si="51"/>
        <v/>
      </c>
      <c r="BH171" s="487" t="str">
        <f t="shared" si="47"/>
        <v/>
      </c>
      <c r="BI171" s="487"/>
      <c r="BJ171" s="487"/>
      <c r="BK171" s="720" t="str">
        <f t="shared" si="48"/>
        <v/>
      </c>
      <c r="BL171" s="700"/>
      <c r="BM171" s="732" t="e">
        <f>IF(#REF!&gt;0,#REF!,"")</f>
        <v>#REF!</v>
      </c>
      <c r="BN171" s="732" t="e">
        <f>IF(#REF!&lt;&gt;"",#REF!,"")</f>
        <v>#REF!</v>
      </c>
      <c r="BO171" s="723" t="str">
        <f t="shared" si="49"/>
        <v/>
      </c>
      <c r="BP171" s="734" t="str">
        <f t="shared" si="36"/>
        <v/>
      </c>
      <c r="BQ171" s="736" t="str">
        <f>IF(L54&lt;&gt;"",#REF!,"")</f>
        <v/>
      </c>
      <c r="BR171" s="737" t="str">
        <f t="shared" si="37"/>
        <v/>
      </c>
      <c r="BS171" s="737" t="str">
        <f>IF(L54&lt;&gt;"",#REF!,"")</f>
        <v/>
      </c>
      <c r="BT171" s="738" t="str">
        <f t="shared" si="38"/>
        <v/>
      </c>
      <c r="BU171" s="730" t="e">
        <f t="shared" si="43"/>
        <v>#REF!</v>
      </c>
    </row>
    <row r="172" spans="41:73" ht="24.95" hidden="1" customHeight="1">
      <c r="AO172" s="488" t="str">
        <f t="shared" si="50"/>
        <v/>
      </c>
      <c r="AP172" s="488" t="str">
        <f t="shared" si="44"/>
        <v/>
      </c>
      <c r="AQ172" s="488"/>
      <c r="AR172" s="739"/>
      <c r="AS172" s="720" t="str">
        <f t="shared" si="45"/>
        <v/>
      </c>
      <c r="AT172" s="275"/>
      <c r="AU172" s="489" t="e">
        <f>IF(#REF!&gt;0,#REF!,"")</f>
        <v>#REF!</v>
      </c>
      <c r="AV172" s="489" t="e">
        <f>IF(#REF!&lt;&gt;"",#REF!,"")</f>
        <v>#REF!</v>
      </c>
      <c r="AW172" s="723" t="str">
        <f t="shared" si="46"/>
        <v/>
      </c>
      <c r="AX172" s="741" t="str">
        <f t="shared" si="31"/>
        <v/>
      </c>
      <c r="AY172" s="742" t="str">
        <f>IF(L55&lt;&gt;"",#REF!,"")</f>
        <v/>
      </c>
      <c r="AZ172" s="743" t="str">
        <f t="shared" si="40"/>
        <v/>
      </c>
      <c r="BA172" s="742" t="str">
        <f>IF(L55&lt;&gt;"",#REF!,"")</f>
        <v/>
      </c>
      <c r="BB172" s="743" t="str">
        <f t="shared" si="32"/>
        <v/>
      </c>
      <c r="BC172" s="728" t="e">
        <f t="shared" si="41"/>
        <v>#REF!</v>
      </c>
      <c r="BG172" s="732" t="str">
        <f t="shared" si="51"/>
        <v/>
      </c>
      <c r="BH172" s="487" t="str">
        <f t="shared" si="47"/>
        <v/>
      </c>
      <c r="BI172" s="487"/>
      <c r="BJ172" s="487"/>
      <c r="BK172" s="720" t="str">
        <f t="shared" si="48"/>
        <v/>
      </c>
      <c r="BL172" s="700"/>
      <c r="BM172" s="732" t="e">
        <f>IF(#REF!&gt;0,#REF!,"")</f>
        <v>#REF!</v>
      </c>
      <c r="BN172" s="732" t="e">
        <f>IF(#REF!&lt;&gt;"",#REF!,"")</f>
        <v>#REF!</v>
      </c>
      <c r="BO172" s="723" t="str">
        <f t="shared" si="49"/>
        <v/>
      </c>
      <c r="BP172" s="734" t="str">
        <f t="shared" si="36"/>
        <v/>
      </c>
      <c r="BQ172" s="736" t="str">
        <f>IF(L55&lt;&gt;"",#REF!,"")</f>
        <v/>
      </c>
      <c r="BR172" s="737" t="str">
        <f t="shared" si="37"/>
        <v/>
      </c>
      <c r="BS172" s="737" t="str">
        <f>IF(L55&lt;&gt;"",#REF!,"")</f>
        <v/>
      </c>
      <c r="BT172" s="738" t="str">
        <f t="shared" si="38"/>
        <v/>
      </c>
      <c r="BU172" s="730" t="e">
        <f t="shared" si="43"/>
        <v>#REF!</v>
      </c>
    </row>
    <row r="173" spans="41:73" ht="24.95" hidden="1" customHeight="1">
      <c r="AO173" s="488" t="str">
        <f t="shared" si="50"/>
        <v/>
      </c>
      <c r="AP173" s="488" t="str">
        <f t="shared" si="44"/>
        <v/>
      </c>
      <c r="AQ173" s="488"/>
      <c r="AR173" s="739"/>
      <c r="AS173" s="720" t="str">
        <f t="shared" si="45"/>
        <v/>
      </c>
      <c r="AT173" s="275"/>
      <c r="AU173" s="489" t="e">
        <f>IF(#REF!&gt;0,#REF!,"")</f>
        <v>#REF!</v>
      </c>
      <c r="AV173" s="489" t="e">
        <f>IF(#REF!&lt;&gt;"",#REF!,"")</f>
        <v>#REF!</v>
      </c>
      <c r="AW173" s="723" t="str">
        <f t="shared" si="46"/>
        <v/>
      </c>
      <c r="AX173" s="741" t="str">
        <f t="shared" si="31"/>
        <v/>
      </c>
      <c r="AY173" s="742" t="str">
        <f>IF(L56&lt;&gt;"",#REF!,"")</f>
        <v/>
      </c>
      <c r="AZ173" s="743" t="str">
        <f t="shared" si="40"/>
        <v/>
      </c>
      <c r="BA173" s="742" t="str">
        <f>IF(L56&lt;&gt;"",#REF!,"")</f>
        <v/>
      </c>
      <c r="BB173" s="743" t="str">
        <f t="shared" si="32"/>
        <v/>
      </c>
      <c r="BC173" s="728" t="e">
        <f t="shared" si="41"/>
        <v>#REF!</v>
      </c>
      <c r="BG173" s="732" t="str">
        <f t="shared" si="51"/>
        <v/>
      </c>
      <c r="BH173" s="487" t="str">
        <f t="shared" si="47"/>
        <v/>
      </c>
      <c r="BI173" s="487"/>
      <c r="BJ173" s="487"/>
      <c r="BK173" s="720" t="str">
        <f t="shared" si="48"/>
        <v/>
      </c>
      <c r="BL173" s="700"/>
      <c r="BM173" s="732" t="e">
        <f>IF(#REF!&gt;0,#REF!,"")</f>
        <v>#REF!</v>
      </c>
      <c r="BN173" s="732" t="e">
        <f>IF(#REF!&lt;&gt;"",#REF!,"")</f>
        <v>#REF!</v>
      </c>
      <c r="BO173" s="723" t="str">
        <f t="shared" si="49"/>
        <v/>
      </c>
      <c r="BP173" s="734" t="str">
        <f t="shared" si="36"/>
        <v/>
      </c>
      <c r="BQ173" s="736" t="str">
        <f>IF(L56&lt;&gt;"",#REF!,"")</f>
        <v/>
      </c>
      <c r="BR173" s="737" t="str">
        <f t="shared" si="37"/>
        <v/>
      </c>
      <c r="BS173" s="737" t="str">
        <f>IF(L56&lt;&gt;"",#REF!,"")</f>
        <v/>
      </c>
      <c r="BT173" s="738" t="str">
        <f t="shared" si="38"/>
        <v/>
      </c>
      <c r="BU173" s="730" t="e">
        <f t="shared" si="43"/>
        <v>#REF!</v>
      </c>
    </row>
    <row r="174" spans="41:73" ht="24.95" hidden="1" customHeight="1">
      <c r="AO174" s="488" t="str">
        <f t="shared" si="50"/>
        <v/>
      </c>
      <c r="AP174" s="488" t="str">
        <f t="shared" si="44"/>
        <v/>
      </c>
      <c r="AQ174" s="488"/>
      <c r="AR174" s="739"/>
      <c r="AS174" s="720" t="str">
        <f t="shared" si="45"/>
        <v/>
      </c>
      <c r="AT174" s="275"/>
      <c r="AU174" s="489" t="e">
        <f>IF(#REF!&gt;0,#REF!,"")</f>
        <v>#REF!</v>
      </c>
      <c r="AV174" s="489" t="e">
        <f>IF(#REF!&lt;&gt;"",#REF!,"")</f>
        <v>#REF!</v>
      </c>
      <c r="AW174" s="723" t="str">
        <f t="shared" si="46"/>
        <v/>
      </c>
      <c r="AX174" s="741" t="str">
        <f t="shared" si="31"/>
        <v/>
      </c>
      <c r="AY174" s="742" t="str">
        <f>IF(L57&lt;&gt;"",#REF!,"")</f>
        <v/>
      </c>
      <c r="AZ174" s="743" t="str">
        <f t="shared" si="40"/>
        <v/>
      </c>
      <c r="BA174" s="742" t="str">
        <f>IF(L57&lt;&gt;"",#REF!,"")</f>
        <v/>
      </c>
      <c r="BB174" s="743" t="str">
        <f t="shared" si="32"/>
        <v/>
      </c>
      <c r="BC174" s="728" t="e">
        <f t="shared" si="41"/>
        <v>#REF!</v>
      </c>
      <c r="BG174" s="732" t="str">
        <f t="shared" si="51"/>
        <v/>
      </c>
      <c r="BH174" s="487" t="str">
        <f t="shared" si="47"/>
        <v/>
      </c>
      <c r="BI174" s="487"/>
      <c r="BJ174" s="487"/>
      <c r="BK174" s="720" t="str">
        <f t="shared" si="48"/>
        <v/>
      </c>
      <c r="BL174" s="700"/>
      <c r="BM174" s="732" t="e">
        <f>IF(#REF!&gt;0,#REF!,"")</f>
        <v>#REF!</v>
      </c>
      <c r="BN174" s="732" t="e">
        <f>IF(#REF!&lt;&gt;"",#REF!,"")</f>
        <v>#REF!</v>
      </c>
      <c r="BO174" s="723" t="str">
        <f t="shared" si="49"/>
        <v/>
      </c>
      <c r="BP174" s="734" t="str">
        <f t="shared" si="36"/>
        <v/>
      </c>
      <c r="BQ174" s="736" t="str">
        <f>IF(L57&lt;&gt;"",#REF!,"")</f>
        <v/>
      </c>
      <c r="BR174" s="737" t="str">
        <f t="shared" si="37"/>
        <v/>
      </c>
      <c r="BS174" s="737" t="str">
        <f>IF(L57&lt;&gt;"",#REF!,"")</f>
        <v/>
      </c>
      <c r="BT174" s="738" t="str">
        <f t="shared" si="38"/>
        <v/>
      </c>
      <c r="BU174" s="730" t="e">
        <f t="shared" si="43"/>
        <v>#REF!</v>
      </c>
    </row>
    <row r="175" spans="41:73" ht="24.95" hidden="1" customHeight="1">
      <c r="AO175" s="488" t="str">
        <f t="shared" si="50"/>
        <v/>
      </c>
      <c r="AP175" s="488" t="str">
        <f t="shared" si="44"/>
        <v/>
      </c>
      <c r="AQ175" s="488"/>
      <c r="AR175" s="739"/>
      <c r="AS175" s="720" t="str">
        <f t="shared" si="45"/>
        <v/>
      </c>
      <c r="AT175" s="275"/>
      <c r="AU175" s="489" t="e">
        <f>IF(#REF!&gt;0,#REF!,"")</f>
        <v>#REF!</v>
      </c>
      <c r="AV175" s="489" t="e">
        <f>IF(#REF!&lt;&gt;"",#REF!,"")</f>
        <v>#REF!</v>
      </c>
      <c r="AW175" s="723" t="str">
        <f t="shared" si="46"/>
        <v/>
      </c>
      <c r="AX175" s="741" t="str">
        <f t="shared" si="31"/>
        <v/>
      </c>
      <c r="AY175" s="742" t="str">
        <f>IF(L58&lt;&gt;"",#REF!,"")</f>
        <v/>
      </c>
      <c r="AZ175" s="743" t="str">
        <f t="shared" si="40"/>
        <v/>
      </c>
      <c r="BA175" s="742" t="str">
        <f>IF(L58&lt;&gt;"",#REF!,"")</f>
        <v/>
      </c>
      <c r="BB175" s="743" t="str">
        <f t="shared" si="32"/>
        <v/>
      </c>
      <c r="BC175" s="728" t="e">
        <f t="shared" si="41"/>
        <v>#REF!</v>
      </c>
      <c r="BG175" s="732" t="str">
        <f t="shared" si="51"/>
        <v/>
      </c>
      <c r="BH175" s="487" t="str">
        <f t="shared" si="47"/>
        <v/>
      </c>
      <c r="BI175" s="487"/>
      <c r="BJ175" s="487"/>
      <c r="BK175" s="720" t="str">
        <f t="shared" si="48"/>
        <v/>
      </c>
      <c r="BL175" s="700"/>
      <c r="BM175" s="732" t="e">
        <f>IF(#REF!&gt;0,#REF!,"")</f>
        <v>#REF!</v>
      </c>
      <c r="BN175" s="732" t="e">
        <f>IF(#REF!&lt;&gt;"",#REF!,"")</f>
        <v>#REF!</v>
      </c>
      <c r="BO175" s="723" t="str">
        <f t="shared" si="49"/>
        <v/>
      </c>
      <c r="BP175" s="734" t="str">
        <f t="shared" si="36"/>
        <v/>
      </c>
      <c r="BQ175" s="736" t="str">
        <f>IF(L58&lt;&gt;"",#REF!,"")</f>
        <v/>
      </c>
      <c r="BR175" s="737" t="str">
        <f t="shared" si="37"/>
        <v/>
      </c>
      <c r="BS175" s="737" t="str">
        <f>IF(L58&lt;&gt;"",#REF!,"")</f>
        <v/>
      </c>
      <c r="BT175" s="738" t="str">
        <f t="shared" si="38"/>
        <v/>
      </c>
      <c r="BU175" s="730" t="e">
        <f t="shared" si="43"/>
        <v>#REF!</v>
      </c>
    </row>
    <row r="176" spans="41:73" ht="24.95" hidden="1" customHeight="1">
      <c r="AO176" s="488" t="str">
        <f t="shared" si="50"/>
        <v/>
      </c>
      <c r="AP176" s="488" t="str">
        <f t="shared" si="44"/>
        <v/>
      </c>
      <c r="AQ176" s="488"/>
      <c r="AR176" s="739"/>
      <c r="AS176" s="720" t="str">
        <f t="shared" si="45"/>
        <v/>
      </c>
      <c r="AT176" s="275"/>
      <c r="AU176" s="489" t="e">
        <f>IF(#REF!&gt;0,#REF!,"")</f>
        <v>#REF!</v>
      </c>
      <c r="AV176" s="489" t="e">
        <f>IF(#REF!&lt;&gt;"",#REF!,"")</f>
        <v>#REF!</v>
      </c>
      <c r="AW176" s="723" t="str">
        <f t="shared" si="46"/>
        <v/>
      </c>
      <c r="AX176" s="741" t="str">
        <f t="shared" si="31"/>
        <v/>
      </c>
      <c r="AY176" s="742" t="str">
        <f>IF(L59&lt;&gt;"",#REF!,"")</f>
        <v/>
      </c>
      <c r="AZ176" s="743" t="str">
        <f t="shared" si="40"/>
        <v/>
      </c>
      <c r="BA176" s="742" t="str">
        <f>IF(L59&lt;&gt;"",#REF!,"")</f>
        <v/>
      </c>
      <c r="BB176" s="743" t="str">
        <f t="shared" si="32"/>
        <v/>
      </c>
      <c r="BC176" s="728" t="e">
        <f t="shared" si="41"/>
        <v>#REF!</v>
      </c>
      <c r="BG176" s="732" t="str">
        <f t="shared" si="51"/>
        <v/>
      </c>
      <c r="BH176" s="487" t="str">
        <f t="shared" si="47"/>
        <v/>
      </c>
      <c r="BI176" s="487"/>
      <c r="BJ176" s="487"/>
      <c r="BK176" s="720" t="str">
        <f t="shared" si="48"/>
        <v/>
      </c>
      <c r="BL176" s="700"/>
      <c r="BM176" s="732" t="e">
        <f>IF(#REF!&gt;0,#REF!,"")</f>
        <v>#REF!</v>
      </c>
      <c r="BN176" s="732" t="e">
        <f>IF(#REF!&lt;&gt;"",#REF!,"")</f>
        <v>#REF!</v>
      </c>
      <c r="BO176" s="723" t="str">
        <f t="shared" si="49"/>
        <v/>
      </c>
      <c r="BP176" s="734" t="str">
        <f t="shared" si="36"/>
        <v/>
      </c>
      <c r="BQ176" s="736" t="str">
        <f>IF(L59&lt;&gt;"",#REF!,"")</f>
        <v/>
      </c>
      <c r="BR176" s="737" t="str">
        <f t="shared" si="37"/>
        <v/>
      </c>
      <c r="BS176" s="737" t="str">
        <f>IF(L59&lt;&gt;"",#REF!,"")</f>
        <v/>
      </c>
      <c r="BT176" s="738" t="str">
        <f t="shared" si="38"/>
        <v/>
      </c>
      <c r="BU176" s="730" t="e">
        <f t="shared" si="43"/>
        <v>#REF!</v>
      </c>
    </row>
    <row r="177" spans="41:73" ht="24.95" hidden="1" customHeight="1">
      <c r="AO177" s="488" t="str">
        <f t="shared" si="50"/>
        <v/>
      </c>
      <c r="AP177" s="488" t="str">
        <f t="shared" si="44"/>
        <v/>
      </c>
      <c r="AQ177" s="488"/>
      <c r="AR177" s="739"/>
      <c r="AS177" s="720" t="str">
        <f t="shared" si="45"/>
        <v/>
      </c>
      <c r="AT177" s="275"/>
      <c r="AU177" s="489" t="e">
        <f>IF(#REF!&gt;0,#REF!,"")</f>
        <v>#REF!</v>
      </c>
      <c r="AV177" s="489" t="e">
        <f>IF(#REF!&lt;&gt;"",#REF!,"")</f>
        <v>#REF!</v>
      </c>
      <c r="AW177" s="723" t="str">
        <f t="shared" si="46"/>
        <v/>
      </c>
      <c r="AX177" s="741" t="str">
        <f t="shared" si="31"/>
        <v/>
      </c>
      <c r="AY177" s="742" t="str">
        <f>IF(L60&lt;&gt;"",#REF!,"")</f>
        <v/>
      </c>
      <c r="AZ177" s="743" t="str">
        <f t="shared" si="40"/>
        <v/>
      </c>
      <c r="BA177" s="742" t="str">
        <f>IF(L60&lt;&gt;"",#REF!,"")</f>
        <v/>
      </c>
      <c r="BB177" s="743" t="str">
        <f t="shared" si="32"/>
        <v/>
      </c>
      <c r="BC177" s="728" t="e">
        <f t="shared" si="41"/>
        <v>#REF!</v>
      </c>
      <c r="BG177" s="732" t="str">
        <f t="shared" si="51"/>
        <v/>
      </c>
      <c r="BH177" s="487" t="str">
        <f t="shared" si="47"/>
        <v/>
      </c>
      <c r="BI177" s="487"/>
      <c r="BJ177" s="487"/>
      <c r="BK177" s="720" t="str">
        <f t="shared" si="48"/>
        <v/>
      </c>
      <c r="BL177" s="700"/>
      <c r="BM177" s="732" t="e">
        <f>IF(#REF!&gt;0,#REF!,"")</f>
        <v>#REF!</v>
      </c>
      <c r="BN177" s="732" t="e">
        <f>IF(#REF!&lt;&gt;"",#REF!,"")</f>
        <v>#REF!</v>
      </c>
      <c r="BO177" s="723" t="str">
        <f t="shared" si="49"/>
        <v/>
      </c>
      <c r="BP177" s="734" t="str">
        <f t="shared" si="36"/>
        <v/>
      </c>
      <c r="BQ177" s="736" t="str">
        <f>IF(L60&lt;&gt;"",#REF!,"")</f>
        <v/>
      </c>
      <c r="BR177" s="737" t="str">
        <f t="shared" si="37"/>
        <v/>
      </c>
      <c r="BS177" s="737" t="str">
        <f>IF(L60&lt;&gt;"",#REF!,"")</f>
        <v/>
      </c>
      <c r="BT177" s="738" t="str">
        <f t="shared" si="38"/>
        <v/>
      </c>
      <c r="BU177" s="730" t="e">
        <f t="shared" si="43"/>
        <v>#REF!</v>
      </c>
    </row>
    <row r="178" spans="41:73" ht="24.95" hidden="1" customHeight="1">
      <c r="AO178" s="488" t="str">
        <f t="shared" si="50"/>
        <v/>
      </c>
      <c r="AP178" s="488" t="str">
        <f t="shared" si="44"/>
        <v/>
      </c>
      <c r="AQ178" s="488"/>
      <c r="AR178" s="739"/>
      <c r="AS178" s="720" t="str">
        <f t="shared" si="45"/>
        <v/>
      </c>
      <c r="AT178" s="275"/>
      <c r="AU178" s="489" t="e">
        <f>IF(#REF!&gt;0,#REF!,"")</f>
        <v>#REF!</v>
      </c>
      <c r="AV178" s="489" t="e">
        <f>IF(#REF!&lt;&gt;"",#REF!,"")</f>
        <v>#REF!</v>
      </c>
      <c r="AW178" s="723" t="str">
        <f t="shared" si="46"/>
        <v/>
      </c>
      <c r="AX178" s="741" t="str">
        <f t="shared" si="31"/>
        <v/>
      </c>
      <c r="AY178" s="742" t="str">
        <f>IF(L61&lt;&gt;"",#REF!,"")</f>
        <v/>
      </c>
      <c r="AZ178" s="743" t="str">
        <f t="shared" si="40"/>
        <v/>
      </c>
      <c r="BA178" s="742" t="str">
        <f>IF(L61&lt;&gt;"",#REF!,"")</f>
        <v/>
      </c>
      <c r="BB178" s="743" t="str">
        <f t="shared" si="32"/>
        <v/>
      </c>
      <c r="BC178" s="728" t="e">
        <f t="shared" si="41"/>
        <v>#REF!</v>
      </c>
      <c r="BG178" s="732" t="str">
        <f t="shared" si="51"/>
        <v/>
      </c>
      <c r="BH178" s="487" t="str">
        <f t="shared" si="47"/>
        <v/>
      </c>
      <c r="BI178" s="487"/>
      <c r="BJ178" s="487"/>
      <c r="BK178" s="720" t="str">
        <f t="shared" si="48"/>
        <v/>
      </c>
      <c r="BL178" s="700"/>
      <c r="BM178" s="732" t="e">
        <f>IF(#REF!&gt;0,#REF!,"")</f>
        <v>#REF!</v>
      </c>
      <c r="BN178" s="732" t="e">
        <f>IF(#REF!&lt;&gt;"",#REF!,"")</f>
        <v>#REF!</v>
      </c>
      <c r="BO178" s="723" t="str">
        <f t="shared" si="49"/>
        <v/>
      </c>
      <c r="BP178" s="734" t="str">
        <f t="shared" si="36"/>
        <v/>
      </c>
      <c r="BQ178" s="736" t="str">
        <f>IF(L61&lt;&gt;"",#REF!,"")</f>
        <v/>
      </c>
      <c r="BR178" s="737" t="str">
        <f t="shared" si="37"/>
        <v/>
      </c>
      <c r="BS178" s="737" t="str">
        <f>IF(L61&lt;&gt;"",#REF!,"")</f>
        <v/>
      </c>
      <c r="BT178" s="738" t="str">
        <f t="shared" si="38"/>
        <v/>
      </c>
      <c r="BU178" s="730" t="e">
        <f t="shared" si="43"/>
        <v>#REF!</v>
      </c>
    </row>
    <row r="179" spans="41:73" ht="24.95" hidden="1" customHeight="1">
      <c r="AO179" s="488" t="str">
        <f t="shared" si="50"/>
        <v/>
      </c>
      <c r="AP179" s="488" t="str">
        <f t="shared" si="44"/>
        <v/>
      </c>
      <c r="AQ179" s="488"/>
      <c r="AR179" s="739"/>
      <c r="AS179" s="720" t="str">
        <f t="shared" si="45"/>
        <v/>
      </c>
      <c r="AT179" s="275"/>
      <c r="AU179" s="489" t="e">
        <f>IF(#REF!&gt;0,#REF!,"")</f>
        <v>#REF!</v>
      </c>
      <c r="AV179" s="489" t="e">
        <f>IF(#REF!&lt;&gt;"",#REF!,"")</f>
        <v>#REF!</v>
      </c>
      <c r="AW179" s="723" t="str">
        <f t="shared" si="46"/>
        <v/>
      </c>
      <c r="AX179" s="741" t="str">
        <f t="shared" si="31"/>
        <v/>
      </c>
      <c r="AY179" s="742" t="str">
        <f>IF(L62&lt;&gt;"",#REF!,"")</f>
        <v/>
      </c>
      <c r="AZ179" s="743" t="str">
        <f t="shared" si="40"/>
        <v/>
      </c>
      <c r="BA179" s="742" t="str">
        <f>IF(L62&lt;&gt;"",#REF!,"")</f>
        <v/>
      </c>
      <c r="BB179" s="743" t="str">
        <f t="shared" si="32"/>
        <v/>
      </c>
      <c r="BC179" s="728" t="e">
        <f t="shared" si="41"/>
        <v>#REF!</v>
      </c>
      <c r="BG179" s="732" t="str">
        <f t="shared" si="51"/>
        <v/>
      </c>
      <c r="BH179" s="487" t="str">
        <f t="shared" si="47"/>
        <v/>
      </c>
      <c r="BI179" s="487"/>
      <c r="BJ179" s="487"/>
      <c r="BK179" s="720" t="str">
        <f t="shared" si="48"/>
        <v/>
      </c>
      <c r="BL179" s="700"/>
      <c r="BM179" s="732" t="e">
        <f>IF(#REF!&gt;0,#REF!,"")</f>
        <v>#REF!</v>
      </c>
      <c r="BN179" s="732" t="e">
        <f>IF(#REF!&lt;&gt;"",#REF!,"")</f>
        <v>#REF!</v>
      </c>
      <c r="BO179" s="723" t="str">
        <f t="shared" si="49"/>
        <v/>
      </c>
      <c r="BP179" s="734" t="str">
        <f t="shared" si="36"/>
        <v/>
      </c>
      <c r="BQ179" s="736" t="str">
        <f>IF(L62&lt;&gt;"",#REF!,"")</f>
        <v/>
      </c>
      <c r="BR179" s="737" t="str">
        <f t="shared" si="37"/>
        <v/>
      </c>
      <c r="BS179" s="737" t="str">
        <f>IF(L62&lt;&gt;"",#REF!,"")</f>
        <v/>
      </c>
      <c r="BT179" s="738" t="str">
        <f t="shared" si="38"/>
        <v/>
      </c>
      <c r="BU179" s="730" t="e">
        <f t="shared" si="43"/>
        <v>#REF!</v>
      </c>
    </row>
    <row r="180" spans="41:73" ht="24.95" hidden="1" customHeight="1">
      <c r="AO180" s="488" t="str">
        <f t="shared" si="50"/>
        <v/>
      </c>
      <c r="AP180" s="488" t="str">
        <f t="shared" si="44"/>
        <v/>
      </c>
      <c r="AQ180" s="488"/>
      <c r="AR180" s="739"/>
      <c r="AS180" s="720" t="str">
        <f t="shared" si="45"/>
        <v/>
      </c>
      <c r="AT180" s="275"/>
      <c r="AU180" s="489" t="e">
        <f>IF(#REF!&gt;0,#REF!,"")</f>
        <v>#REF!</v>
      </c>
      <c r="AV180" s="489" t="e">
        <f>IF(#REF!&lt;&gt;"",#REF!,"")</f>
        <v>#REF!</v>
      </c>
      <c r="AW180" s="723" t="str">
        <f t="shared" si="46"/>
        <v/>
      </c>
      <c r="AX180" s="741" t="str">
        <f t="shared" si="31"/>
        <v/>
      </c>
      <c r="AY180" s="742" t="str">
        <f>IF(L63&lt;&gt;"",#REF!,"")</f>
        <v/>
      </c>
      <c r="AZ180" s="743" t="str">
        <f t="shared" si="40"/>
        <v/>
      </c>
      <c r="BA180" s="742" t="str">
        <f>IF(L63&lt;&gt;"",#REF!,"")</f>
        <v/>
      </c>
      <c r="BB180" s="743" t="str">
        <f t="shared" si="32"/>
        <v/>
      </c>
      <c r="BC180" s="728" t="e">
        <f t="shared" si="41"/>
        <v>#REF!</v>
      </c>
      <c r="BG180" s="732" t="str">
        <f t="shared" si="51"/>
        <v/>
      </c>
      <c r="BH180" s="487" t="str">
        <f t="shared" si="47"/>
        <v/>
      </c>
      <c r="BI180" s="487"/>
      <c r="BJ180" s="487"/>
      <c r="BK180" s="720" t="str">
        <f t="shared" si="48"/>
        <v/>
      </c>
      <c r="BL180" s="700"/>
      <c r="BM180" s="732" t="e">
        <f>IF(#REF!&gt;0,#REF!,"")</f>
        <v>#REF!</v>
      </c>
      <c r="BN180" s="732" t="e">
        <f>IF(#REF!&lt;&gt;"",#REF!,"")</f>
        <v>#REF!</v>
      </c>
      <c r="BO180" s="723" t="str">
        <f t="shared" si="49"/>
        <v/>
      </c>
      <c r="BP180" s="734" t="str">
        <f t="shared" si="36"/>
        <v/>
      </c>
      <c r="BQ180" s="736" t="str">
        <f>IF(L63&lt;&gt;"",#REF!,"")</f>
        <v/>
      </c>
      <c r="BR180" s="737" t="str">
        <f t="shared" si="37"/>
        <v/>
      </c>
      <c r="BS180" s="737" t="str">
        <f>IF(L63&lt;&gt;"",#REF!,"")</f>
        <v/>
      </c>
      <c r="BT180" s="738" t="str">
        <f t="shared" si="38"/>
        <v/>
      </c>
      <c r="BU180" s="730" t="e">
        <f t="shared" si="43"/>
        <v>#REF!</v>
      </c>
    </row>
    <row r="181" spans="41:73" ht="24.95" hidden="1" customHeight="1">
      <c r="AO181" s="488" t="str">
        <f t="shared" si="50"/>
        <v/>
      </c>
      <c r="AP181" s="488" t="str">
        <f t="shared" si="44"/>
        <v/>
      </c>
      <c r="AQ181" s="488"/>
      <c r="AR181" s="739"/>
      <c r="AS181" s="720" t="str">
        <f t="shared" si="45"/>
        <v/>
      </c>
      <c r="AT181" s="275"/>
      <c r="AU181" s="489" t="e">
        <f>IF(#REF!&gt;0,#REF!,"")</f>
        <v>#REF!</v>
      </c>
      <c r="AV181" s="489" t="e">
        <f>IF(#REF!&lt;&gt;"",#REF!,"")</f>
        <v>#REF!</v>
      </c>
      <c r="AW181" s="723" t="str">
        <f t="shared" si="46"/>
        <v/>
      </c>
      <c r="AX181" s="741" t="str">
        <f t="shared" si="31"/>
        <v/>
      </c>
      <c r="AY181" s="742" t="str">
        <f>IF(L64&lt;&gt;"",#REF!,"")</f>
        <v/>
      </c>
      <c r="AZ181" s="743" t="str">
        <f t="shared" si="40"/>
        <v/>
      </c>
      <c r="BA181" s="742" t="str">
        <f>IF(L64&lt;&gt;"",#REF!,"")</f>
        <v/>
      </c>
      <c r="BB181" s="743" t="str">
        <f t="shared" si="32"/>
        <v/>
      </c>
      <c r="BC181" s="728" t="e">
        <f t="shared" si="41"/>
        <v>#REF!</v>
      </c>
      <c r="BG181" s="732" t="str">
        <f t="shared" si="51"/>
        <v/>
      </c>
      <c r="BH181" s="487" t="str">
        <f t="shared" si="47"/>
        <v/>
      </c>
      <c r="BI181" s="487"/>
      <c r="BJ181" s="487"/>
      <c r="BK181" s="720" t="str">
        <f t="shared" si="48"/>
        <v/>
      </c>
      <c r="BL181" s="700"/>
      <c r="BM181" s="732" t="e">
        <f>IF(#REF!&gt;0,#REF!,"")</f>
        <v>#REF!</v>
      </c>
      <c r="BN181" s="732" t="e">
        <f>IF(#REF!&lt;&gt;"",#REF!,"")</f>
        <v>#REF!</v>
      </c>
      <c r="BO181" s="723" t="str">
        <f t="shared" si="49"/>
        <v/>
      </c>
      <c r="BP181" s="734" t="str">
        <f t="shared" si="36"/>
        <v/>
      </c>
      <c r="BQ181" s="736" t="str">
        <f>IF(L64&lt;&gt;"",#REF!,"")</f>
        <v/>
      </c>
      <c r="BR181" s="737" t="str">
        <f t="shared" si="37"/>
        <v/>
      </c>
      <c r="BS181" s="737" t="str">
        <f>IF(L64&lt;&gt;"",#REF!,"")</f>
        <v/>
      </c>
      <c r="BT181" s="738" t="str">
        <f t="shared" si="38"/>
        <v/>
      </c>
      <c r="BU181" s="730" t="e">
        <f t="shared" si="43"/>
        <v>#REF!</v>
      </c>
    </row>
    <row r="182" spans="41:73" ht="24.95" hidden="1" customHeight="1">
      <c r="AO182" s="488" t="str">
        <f t="shared" si="50"/>
        <v/>
      </c>
      <c r="AP182" s="488" t="str">
        <f t="shared" si="44"/>
        <v/>
      </c>
      <c r="AQ182" s="488"/>
      <c r="AR182" s="739"/>
      <c r="AS182" s="720" t="str">
        <f t="shared" si="45"/>
        <v/>
      </c>
      <c r="AT182" s="275"/>
      <c r="AU182" s="489" t="e">
        <f>IF(#REF!&gt;0,#REF!,"")</f>
        <v>#REF!</v>
      </c>
      <c r="AV182" s="489" t="e">
        <f>IF(#REF!&lt;&gt;"",#REF!,"")</f>
        <v>#REF!</v>
      </c>
      <c r="AW182" s="723" t="str">
        <f t="shared" si="46"/>
        <v/>
      </c>
      <c r="AX182" s="741" t="str">
        <f t="shared" si="31"/>
        <v/>
      </c>
      <c r="AY182" s="742" t="str">
        <f>IF(L65&lt;&gt;"",#REF!,"")</f>
        <v/>
      </c>
      <c r="AZ182" s="743" t="str">
        <f t="shared" si="40"/>
        <v/>
      </c>
      <c r="BA182" s="742" t="str">
        <f>IF(L65&lt;&gt;"",#REF!,"")</f>
        <v/>
      </c>
      <c r="BB182" s="743" t="str">
        <f t="shared" si="32"/>
        <v/>
      </c>
      <c r="BC182" s="728" t="e">
        <f t="shared" si="41"/>
        <v>#REF!</v>
      </c>
      <c r="BG182" s="732" t="str">
        <f t="shared" si="51"/>
        <v/>
      </c>
      <c r="BH182" s="487" t="str">
        <f t="shared" si="47"/>
        <v/>
      </c>
      <c r="BI182" s="487"/>
      <c r="BJ182" s="487"/>
      <c r="BK182" s="720" t="str">
        <f t="shared" si="48"/>
        <v/>
      </c>
      <c r="BL182" s="700"/>
      <c r="BM182" s="732" t="e">
        <f>IF(#REF!&gt;0,#REF!,"")</f>
        <v>#REF!</v>
      </c>
      <c r="BN182" s="732" t="e">
        <f>IF(#REF!&lt;&gt;"",#REF!,"")</f>
        <v>#REF!</v>
      </c>
      <c r="BO182" s="723" t="str">
        <f t="shared" si="49"/>
        <v/>
      </c>
      <c r="BP182" s="734" t="str">
        <f t="shared" si="36"/>
        <v/>
      </c>
      <c r="BQ182" s="736" t="str">
        <f>IF(L65&lt;&gt;"",#REF!,"")</f>
        <v/>
      </c>
      <c r="BR182" s="737" t="str">
        <f t="shared" si="37"/>
        <v/>
      </c>
      <c r="BS182" s="737" t="str">
        <f>IF(L65&lt;&gt;"",#REF!,"")</f>
        <v/>
      </c>
      <c r="BT182" s="738" t="str">
        <f t="shared" si="38"/>
        <v/>
      </c>
      <c r="BU182" s="730" t="e">
        <f t="shared" si="43"/>
        <v>#REF!</v>
      </c>
    </row>
    <row r="183" spans="41:73" ht="24.95" hidden="1" customHeight="1">
      <c r="AO183" s="488" t="str">
        <f t="shared" si="50"/>
        <v/>
      </c>
      <c r="AP183" s="488" t="str">
        <f t="shared" si="44"/>
        <v/>
      </c>
      <c r="AQ183" s="488"/>
      <c r="AR183" s="739"/>
      <c r="AS183" s="720" t="str">
        <f t="shared" si="45"/>
        <v/>
      </c>
      <c r="AT183" s="275"/>
      <c r="AU183" s="489" t="e">
        <f>IF(#REF!&gt;0,#REF!,"")</f>
        <v>#REF!</v>
      </c>
      <c r="AV183" s="489" t="e">
        <f>IF(#REF!&lt;&gt;"",#REF!,"")</f>
        <v>#REF!</v>
      </c>
      <c r="AW183" s="723" t="str">
        <f t="shared" si="46"/>
        <v/>
      </c>
      <c r="AX183" s="741" t="str">
        <f t="shared" si="31"/>
        <v/>
      </c>
      <c r="AY183" s="742" t="str">
        <f>IF(L66&lt;&gt;"",#REF!,"")</f>
        <v/>
      </c>
      <c r="AZ183" s="743" t="str">
        <f t="shared" si="40"/>
        <v/>
      </c>
      <c r="BA183" s="742" t="str">
        <f>IF(L66&lt;&gt;"",#REF!,"")</f>
        <v/>
      </c>
      <c r="BB183" s="743" t="str">
        <f t="shared" si="32"/>
        <v/>
      </c>
      <c r="BC183" s="728" t="e">
        <f t="shared" si="41"/>
        <v>#REF!</v>
      </c>
      <c r="BG183" s="732" t="str">
        <f t="shared" si="51"/>
        <v/>
      </c>
      <c r="BH183" s="487" t="str">
        <f t="shared" si="47"/>
        <v/>
      </c>
      <c r="BI183" s="487"/>
      <c r="BJ183" s="487"/>
      <c r="BK183" s="720" t="str">
        <f t="shared" si="48"/>
        <v/>
      </c>
      <c r="BL183" s="700"/>
      <c r="BM183" s="732" t="e">
        <f>IF(#REF!&gt;0,#REF!,"")</f>
        <v>#REF!</v>
      </c>
      <c r="BN183" s="732" t="e">
        <f>IF(#REF!&lt;&gt;"",#REF!,"")</f>
        <v>#REF!</v>
      </c>
      <c r="BO183" s="723" t="str">
        <f t="shared" si="49"/>
        <v/>
      </c>
      <c r="BP183" s="734" t="str">
        <f t="shared" si="36"/>
        <v/>
      </c>
      <c r="BQ183" s="736" t="str">
        <f>IF(L66&lt;&gt;"",#REF!,"")</f>
        <v/>
      </c>
      <c r="BR183" s="737" t="str">
        <f t="shared" si="37"/>
        <v/>
      </c>
      <c r="BS183" s="737" t="str">
        <f>IF(L66&lt;&gt;"",#REF!,"")</f>
        <v/>
      </c>
      <c r="BT183" s="738" t="str">
        <f t="shared" si="38"/>
        <v/>
      </c>
      <c r="BU183" s="730" t="e">
        <f t="shared" si="43"/>
        <v>#REF!</v>
      </c>
    </row>
    <row r="184" spans="41:73" ht="24.95" hidden="1" customHeight="1">
      <c r="AO184" s="488" t="str">
        <f t="shared" si="50"/>
        <v/>
      </c>
      <c r="AP184" s="488" t="str">
        <f t="shared" si="44"/>
        <v/>
      </c>
      <c r="AQ184" s="488"/>
      <c r="AR184" s="739"/>
      <c r="AS184" s="720" t="str">
        <f t="shared" si="45"/>
        <v/>
      </c>
      <c r="AT184" s="275"/>
      <c r="AU184" s="489" t="e">
        <f>IF(#REF!&gt;0,#REF!,"")</f>
        <v>#REF!</v>
      </c>
      <c r="AV184" s="489" t="e">
        <f>IF(#REF!&lt;&gt;"",#REF!,"")</f>
        <v>#REF!</v>
      </c>
      <c r="AW184" s="723" t="str">
        <f t="shared" si="46"/>
        <v/>
      </c>
      <c r="AX184" s="741" t="str">
        <f t="shared" si="31"/>
        <v/>
      </c>
      <c r="AY184" s="742" t="str">
        <f>IF(L67&lt;&gt;"",#REF!,"")</f>
        <v/>
      </c>
      <c r="AZ184" s="743" t="str">
        <f t="shared" si="40"/>
        <v/>
      </c>
      <c r="BA184" s="742" t="str">
        <f>IF(L67&lt;&gt;"",#REF!,"")</f>
        <v/>
      </c>
      <c r="BB184" s="743" t="str">
        <f t="shared" si="32"/>
        <v/>
      </c>
      <c r="BC184" s="728" t="e">
        <f t="shared" si="41"/>
        <v>#REF!</v>
      </c>
      <c r="BG184" s="732" t="str">
        <f t="shared" si="51"/>
        <v/>
      </c>
      <c r="BH184" s="487" t="str">
        <f t="shared" si="47"/>
        <v/>
      </c>
      <c r="BI184" s="487"/>
      <c r="BJ184" s="487"/>
      <c r="BK184" s="720" t="str">
        <f t="shared" si="48"/>
        <v/>
      </c>
      <c r="BL184" s="700"/>
      <c r="BM184" s="732" t="e">
        <f>IF(#REF!&gt;0,#REF!,"")</f>
        <v>#REF!</v>
      </c>
      <c r="BN184" s="732" t="e">
        <f>IF(#REF!&lt;&gt;"",#REF!,"")</f>
        <v>#REF!</v>
      </c>
      <c r="BO184" s="723" t="str">
        <f t="shared" si="49"/>
        <v/>
      </c>
      <c r="BP184" s="734" t="str">
        <f t="shared" si="36"/>
        <v/>
      </c>
      <c r="BQ184" s="736" t="str">
        <f>IF(L67&lt;&gt;"",#REF!,"")</f>
        <v/>
      </c>
      <c r="BR184" s="737" t="str">
        <f t="shared" si="37"/>
        <v/>
      </c>
      <c r="BS184" s="737" t="str">
        <f>IF(L67&lt;&gt;"",#REF!,"")</f>
        <v/>
      </c>
      <c r="BT184" s="738" t="str">
        <f t="shared" si="38"/>
        <v/>
      </c>
      <c r="BU184" s="730" t="e">
        <f t="shared" si="43"/>
        <v>#REF!</v>
      </c>
    </row>
    <row r="185" spans="41:73" ht="24.95" hidden="1" customHeight="1">
      <c r="AO185" s="488" t="str">
        <f t="shared" si="50"/>
        <v/>
      </c>
      <c r="AP185" s="488" t="str">
        <f t="shared" si="44"/>
        <v/>
      </c>
      <c r="AQ185" s="488"/>
      <c r="AR185" s="739"/>
      <c r="AS185" s="720" t="str">
        <f t="shared" si="45"/>
        <v/>
      </c>
      <c r="AT185" s="275"/>
      <c r="AU185" s="489" t="e">
        <f>IF(#REF!&gt;0,#REF!,"")</f>
        <v>#REF!</v>
      </c>
      <c r="AV185" s="489" t="e">
        <f>IF(#REF!&lt;&gt;"",#REF!,"")</f>
        <v>#REF!</v>
      </c>
      <c r="AW185" s="723" t="str">
        <f t="shared" si="46"/>
        <v/>
      </c>
      <c r="AX185" s="741" t="str">
        <f t="shared" si="31"/>
        <v/>
      </c>
      <c r="AY185" s="742" t="str">
        <f>IF(L68&lt;&gt;"",#REF!,"")</f>
        <v/>
      </c>
      <c r="AZ185" s="743" t="str">
        <f t="shared" si="40"/>
        <v/>
      </c>
      <c r="BA185" s="742" t="str">
        <f>IF(L68&lt;&gt;"",#REF!,"")</f>
        <v/>
      </c>
      <c r="BB185" s="743" t="str">
        <f t="shared" si="32"/>
        <v/>
      </c>
      <c r="BC185" s="728" t="e">
        <f t="shared" si="41"/>
        <v>#REF!</v>
      </c>
      <c r="BG185" s="732" t="str">
        <f t="shared" si="51"/>
        <v/>
      </c>
      <c r="BH185" s="487" t="str">
        <f t="shared" si="47"/>
        <v/>
      </c>
      <c r="BI185" s="487"/>
      <c r="BJ185" s="487"/>
      <c r="BK185" s="720" t="str">
        <f t="shared" si="48"/>
        <v/>
      </c>
      <c r="BL185" s="700"/>
      <c r="BM185" s="732" t="e">
        <f>IF(#REF!&gt;0,#REF!,"")</f>
        <v>#REF!</v>
      </c>
      <c r="BN185" s="732" t="e">
        <f>IF(#REF!&lt;&gt;"",#REF!,"")</f>
        <v>#REF!</v>
      </c>
      <c r="BO185" s="723" t="str">
        <f t="shared" si="49"/>
        <v/>
      </c>
      <c r="BP185" s="734" t="str">
        <f t="shared" si="36"/>
        <v/>
      </c>
      <c r="BQ185" s="736" t="str">
        <f>IF(L68&lt;&gt;"",#REF!,"")</f>
        <v/>
      </c>
      <c r="BR185" s="737" t="str">
        <f t="shared" si="37"/>
        <v/>
      </c>
      <c r="BS185" s="737" t="str">
        <f>IF(L68&lt;&gt;"",#REF!,"")</f>
        <v/>
      </c>
      <c r="BT185" s="738" t="str">
        <f t="shared" si="38"/>
        <v/>
      </c>
      <c r="BU185" s="730" t="e">
        <f t="shared" si="43"/>
        <v>#REF!</v>
      </c>
    </row>
    <row r="186" spans="41:73" ht="24.95" hidden="1" customHeight="1">
      <c r="AO186" s="488" t="str">
        <f t="shared" si="50"/>
        <v/>
      </c>
      <c r="AP186" s="488" t="str">
        <f t="shared" si="44"/>
        <v/>
      </c>
      <c r="AQ186" s="488"/>
      <c r="AR186" s="739"/>
      <c r="AS186" s="720" t="str">
        <f t="shared" si="45"/>
        <v/>
      </c>
      <c r="AT186" s="275"/>
      <c r="AU186" s="489" t="e">
        <f>IF(#REF!&gt;0,#REF!,"")</f>
        <v>#REF!</v>
      </c>
      <c r="AV186" s="489" t="e">
        <f>IF(#REF!&lt;&gt;"",#REF!,"")</f>
        <v>#REF!</v>
      </c>
      <c r="AW186" s="723" t="str">
        <f t="shared" si="46"/>
        <v/>
      </c>
      <c r="AX186" s="741" t="str">
        <f t="shared" si="31"/>
        <v/>
      </c>
      <c r="AY186" s="742" t="str">
        <f>IF(L69&lt;&gt;"",#REF!,"")</f>
        <v/>
      </c>
      <c r="AZ186" s="743" t="str">
        <f t="shared" si="40"/>
        <v/>
      </c>
      <c r="BA186" s="742" t="str">
        <f>IF(L69&lt;&gt;"",#REF!,"")</f>
        <v/>
      </c>
      <c r="BB186" s="743" t="str">
        <f t="shared" si="32"/>
        <v/>
      </c>
      <c r="BC186" s="728" t="e">
        <f t="shared" si="41"/>
        <v>#REF!</v>
      </c>
      <c r="BG186" s="732" t="str">
        <f t="shared" si="51"/>
        <v/>
      </c>
      <c r="BH186" s="487" t="str">
        <f t="shared" si="47"/>
        <v/>
      </c>
      <c r="BI186" s="487"/>
      <c r="BJ186" s="487"/>
      <c r="BK186" s="720" t="str">
        <f t="shared" si="48"/>
        <v/>
      </c>
      <c r="BL186" s="700"/>
      <c r="BM186" s="732" t="e">
        <f>IF(#REF!&gt;0,#REF!,"")</f>
        <v>#REF!</v>
      </c>
      <c r="BN186" s="732" t="e">
        <f>IF(#REF!&lt;&gt;"",#REF!,"")</f>
        <v>#REF!</v>
      </c>
      <c r="BO186" s="723" t="str">
        <f t="shared" si="49"/>
        <v/>
      </c>
      <c r="BP186" s="734" t="str">
        <f t="shared" si="36"/>
        <v/>
      </c>
      <c r="BQ186" s="736" t="str">
        <f>IF(L69&lt;&gt;"",#REF!,"")</f>
        <v/>
      </c>
      <c r="BR186" s="737" t="str">
        <f t="shared" si="37"/>
        <v/>
      </c>
      <c r="BS186" s="737" t="str">
        <f>IF(L69&lt;&gt;"",#REF!,"")</f>
        <v/>
      </c>
      <c r="BT186" s="738" t="str">
        <f t="shared" si="38"/>
        <v/>
      </c>
      <c r="BU186" s="730" t="e">
        <f t="shared" si="43"/>
        <v>#REF!</v>
      </c>
    </row>
    <row r="187" spans="41:73" ht="24.95" hidden="1" customHeight="1">
      <c r="AO187" s="488" t="str">
        <f t="shared" si="50"/>
        <v/>
      </c>
      <c r="AP187" s="488" t="str">
        <f t="shared" si="44"/>
        <v/>
      </c>
      <c r="AQ187" s="488"/>
      <c r="AR187" s="739"/>
      <c r="AS187" s="720" t="str">
        <f t="shared" si="45"/>
        <v/>
      </c>
      <c r="AT187" s="275"/>
      <c r="AU187" s="489" t="e">
        <f>IF(#REF!&gt;0,#REF!,"")</f>
        <v>#REF!</v>
      </c>
      <c r="AV187" s="489" t="e">
        <f>IF(#REF!&lt;&gt;"",#REF!,"")</f>
        <v>#REF!</v>
      </c>
      <c r="AW187" s="723" t="str">
        <f t="shared" si="46"/>
        <v/>
      </c>
      <c r="AX187" s="741" t="str">
        <f t="shared" si="31"/>
        <v/>
      </c>
      <c r="AY187" s="742" t="str">
        <f>IF(L70&lt;&gt;"",#REF!,"")</f>
        <v/>
      </c>
      <c r="AZ187" s="743" t="str">
        <f t="shared" si="40"/>
        <v/>
      </c>
      <c r="BA187" s="742" t="str">
        <f>IF(L70&lt;&gt;"",#REF!,"")</f>
        <v/>
      </c>
      <c r="BB187" s="743" t="str">
        <f t="shared" si="32"/>
        <v/>
      </c>
      <c r="BC187" s="728" t="e">
        <f t="shared" si="41"/>
        <v>#REF!</v>
      </c>
      <c r="BG187" s="732" t="str">
        <f t="shared" si="51"/>
        <v/>
      </c>
      <c r="BH187" s="487" t="str">
        <f t="shared" si="47"/>
        <v/>
      </c>
      <c r="BI187" s="487"/>
      <c r="BJ187" s="487"/>
      <c r="BK187" s="720" t="str">
        <f t="shared" si="48"/>
        <v/>
      </c>
      <c r="BL187" s="700"/>
      <c r="BM187" s="732" t="e">
        <f>IF(#REF!&gt;0,#REF!,"")</f>
        <v>#REF!</v>
      </c>
      <c r="BN187" s="732" t="e">
        <f>IF(#REF!&lt;&gt;"",#REF!,"")</f>
        <v>#REF!</v>
      </c>
      <c r="BO187" s="723" t="str">
        <f t="shared" si="49"/>
        <v/>
      </c>
      <c r="BP187" s="734" t="str">
        <f t="shared" si="36"/>
        <v/>
      </c>
      <c r="BQ187" s="736" t="str">
        <f>IF(L70&lt;&gt;"",#REF!,"")</f>
        <v/>
      </c>
      <c r="BR187" s="737" t="str">
        <f t="shared" si="37"/>
        <v/>
      </c>
      <c r="BS187" s="737" t="str">
        <f>IF(L70&lt;&gt;"",#REF!,"")</f>
        <v/>
      </c>
      <c r="BT187" s="738" t="str">
        <f t="shared" si="38"/>
        <v/>
      </c>
      <c r="BU187" s="730" t="e">
        <f t="shared" si="43"/>
        <v>#REF!</v>
      </c>
    </row>
    <row r="188" spans="41:73" ht="24.95" hidden="1" customHeight="1">
      <c r="AO188" s="488" t="str">
        <f t="shared" si="50"/>
        <v/>
      </c>
      <c r="AP188" s="488" t="str">
        <f t="shared" si="44"/>
        <v/>
      </c>
      <c r="AQ188" s="488"/>
      <c r="AR188" s="739"/>
      <c r="AS188" s="720" t="str">
        <f t="shared" si="45"/>
        <v/>
      </c>
      <c r="AT188" s="275"/>
      <c r="AU188" s="489" t="e">
        <f>IF(#REF!&gt;0,#REF!,"")</f>
        <v>#REF!</v>
      </c>
      <c r="AV188" s="489" t="e">
        <f>IF(#REF!&lt;&gt;"",#REF!,"")</f>
        <v>#REF!</v>
      </c>
      <c r="AW188" s="723" t="str">
        <f t="shared" si="46"/>
        <v/>
      </c>
      <c r="AX188" s="741" t="str">
        <f t="shared" si="31"/>
        <v/>
      </c>
      <c r="AY188" s="742" t="str">
        <f>IF(L71&lt;&gt;"",#REF!,"")</f>
        <v/>
      </c>
      <c r="AZ188" s="743" t="str">
        <f t="shared" si="40"/>
        <v/>
      </c>
      <c r="BA188" s="742" t="str">
        <f>IF(L71&lt;&gt;"",#REF!,"")</f>
        <v/>
      </c>
      <c r="BB188" s="743" t="str">
        <f t="shared" si="32"/>
        <v/>
      </c>
      <c r="BC188" s="728" t="e">
        <f t="shared" si="41"/>
        <v>#REF!</v>
      </c>
      <c r="BG188" s="732" t="str">
        <f t="shared" si="51"/>
        <v/>
      </c>
      <c r="BH188" s="487" t="str">
        <f t="shared" si="47"/>
        <v/>
      </c>
      <c r="BI188" s="487"/>
      <c r="BJ188" s="487"/>
      <c r="BK188" s="720" t="str">
        <f t="shared" si="48"/>
        <v/>
      </c>
      <c r="BL188" s="700"/>
      <c r="BM188" s="732" t="e">
        <f>IF(#REF!&gt;0,#REF!,"")</f>
        <v>#REF!</v>
      </c>
      <c r="BN188" s="732" t="e">
        <f>IF(#REF!&lt;&gt;"",#REF!,"")</f>
        <v>#REF!</v>
      </c>
      <c r="BO188" s="723" t="str">
        <f t="shared" si="49"/>
        <v/>
      </c>
      <c r="BP188" s="734" t="str">
        <f t="shared" si="36"/>
        <v/>
      </c>
      <c r="BQ188" s="736" t="str">
        <f>IF(L71&lt;&gt;"",#REF!,"")</f>
        <v/>
      </c>
      <c r="BR188" s="737" t="str">
        <f t="shared" si="37"/>
        <v/>
      </c>
      <c r="BS188" s="737" t="str">
        <f>IF(L71&lt;&gt;"",#REF!,"")</f>
        <v/>
      </c>
      <c r="BT188" s="738" t="str">
        <f t="shared" si="38"/>
        <v/>
      </c>
      <c r="BU188" s="730" t="e">
        <f t="shared" si="43"/>
        <v>#REF!</v>
      </c>
    </row>
    <row r="189" spans="41:73" ht="24.95" hidden="1" customHeight="1">
      <c r="AO189" s="488" t="str">
        <f t="shared" si="50"/>
        <v/>
      </c>
      <c r="AP189" s="488" t="str">
        <f t="shared" ref="AP189:AP204" si="52">IF(K72&lt;&gt;"",K72,"")</f>
        <v/>
      </c>
      <c r="AQ189" s="488"/>
      <c r="AR189" s="739"/>
      <c r="AS189" s="720" t="str">
        <f t="shared" ref="AS189:AS200" si="53">IF(L72&lt;&gt;"",MID(L72,7,200),"")</f>
        <v/>
      </c>
      <c r="AT189" s="275"/>
      <c r="AU189" s="489" t="e">
        <f>IF(#REF!&gt;0,#REF!,"")</f>
        <v>#REF!</v>
      </c>
      <c r="AV189" s="489" t="e">
        <f>IF(#REF!&lt;&gt;"",#REF!,"")</f>
        <v>#REF!</v>
      </c>
      <c r="AW189" s="723" t="str">
        <f t="shared" ref="AW189:AW200" si="54">IF(L72&lt;&gt;"",MID(M72,5,100),"")</f>
        <v/>
      </c>
      <c r="AX189" s="741" t="str">
        <f t="shared" ref="AX189:AX204" si="55">IF(AS189="","",quote_currency_symbol)</f>
        <v/>
      </c>
      <c r="AY189" s="742" t="str">
        <f>IF(L72&lt;&gt;"",#REF!,"")</f>
        <v/>
      </c>
      <c r="AZ189" s="743" t="str">
        <f t="shared" si="40"/>
        <v/>
      </c>
      <c r="BA189" s="742" t="str">
        <f>IF(L72&lt;&gt;"",#REF!,"")</f>
        <v/>
      </c>
      <c r="BB189" s="743" t="str">
        <f t="shared" ref="BB189:BB204" si="56">IF(AS189="","",quote_currency_symbol)</f>
        <v/>
      </c>
      <c r="BC189" s="728" t="e">
        <f t="shared" si="41"/>
        <v>#REF!</v>
      </c>
      <c r="BG189" s="732" t="str">
        <f t="shared" si="51"/>
        <v/>
      </c>
      <c r="BH189" s="487" t="str">
        <f t="shared" ref="BH189:BH204" si="57">IF(L72&lt;&gt;"",K72,"")</f>
        <v/>
      </c>
      <c r="BI189" s="487"/>
      <c r="BJ189" s="487"/>
      <c r="BK189" s="720" t="str">
        <f t="shared" ref="BK189:BK204" si="58">IF(L72&lt;&gt;"",MID(L72,7,200),"")</f>
        <v/>
      </c>
      <c r="BL189" s="700"/>
      <c r="BM189" s="732" t="e">
        <f>IF(#REF!&gt;0,#REF!,"")</f>
        <v>#REF!</v>
      </c>
      <c r="BN189" s="732" t="e">
        <f>IF(#REF!&lt;&gt;"",#REF!,"")</f>
        <v>#REF!</v>
      </c>
      <c r="BO189" s="723" t="str">
        <f t="shared" ref="BO189:BO204" si="59">IF(L72&lt;&gt;"",MID(M72,5,100),"")</f>
        <v/>
      </c>
      <c r="BP189" s="734" t="str">
        <f t="shared" ref="BP189:BP204" si="60">IF(BK189="","",quote_currency_symbol)</f>
        <v/>
      </c>
      <c r="BQ189" s="736" t="str">
        <f>IF(L72&lt;&gt;"",#REF!,"")</f>
        <v/>
      </c>
      <c r="BR189" s="737" t="str">
        <f t="shared" ref="BR189:BR204" si="61">IF(BK189="","",quote_currency_symbol)</f>
        <v/>
      </c>
      <c r="BS189" s="737" t="str">
        <f>IF(L72&lt;&gt;"",#REF!,"")</f>
        <v/>
      </c>
      <c r="BT189" s="738" t="str">
        <f t="shared" ref="BT189:BT204" si="62">IF(BK189="","",quote_currency_symbol)</f>
        <v/>
      </c>
      <c r="BU189" s="730" t="e">
        <f t="shared" si="43"/>
        <v>#REF!</v>
      </c>
    </row>
    <row r="190" spans="41:73" ht="24.95" hidden="1" customHeight="1">
      <c r="AO190" s="488" t="str">
        <f t="shared" ref="AO190:AO204" si="63">IF(L73="","",AO189+1)</f>
        <v/>
      </c>
      <c r="AP190" s="488" t="str">
        <f t="shared" si="52"/>
        <v/>
      </c>
      <c r="AQ190" s="488"/>
      <c r="AR190" s="739"/>
      <c r="AS190" s="720" t="str">
        <f t="shared" si="53"/>
        <v/>
      </c>
      <c r="AT190" s="275"/>
      <c r="AU190" s="489" t="e">
        <f>IF(#REF!&gt;0,#REF!,"")</f>
        <v>#REF!</v>
      </c>
      <c r="AV190" s="489" t="e">
        <f>IF(#REF!&lt;&gt;"",#REF!,"")</f>
        <v>#REF!</v>
      </c>
      <c r="AW190" s="723" t="str">
        <f t="shared" si="54"/>
        <v/>
      </c>
      <c r="AX190" s="741" t="str">
        <f t="shared" si="55"/>
        <v/>
      </c>
      <c r="AY190" s="742" t="str">
        <f>IF(L73&lt;&gt;"",#REF!,"")</f>
        <v/>
      </c>
      <c r="AZ190" s="743" t="str">
        <f t="shared" ref="AZ190:AZ204" si="64">IF(AS190="","",quote_currency_symbol)</f>
        <v/>
      </c>
      <c r="BA190" s="742" t="str">
        <f>IF(L73&lt;&gt;"",#REF!,"")</f>
        <v/>
      </c>
      <c r="BB190" s="743" t="str">
        <f t="shared" si="56"/>
        <v/>
      </c>
      <c r="BC190" s="728" t="e">
        <f t="shared" ref="BC190:BC204" si="65">IF(AND(AS190&lt;&gt;"",AU190&gt;0),(N(AU190))*AY190-BA190,"")</f>
        <v>#REF!</v>
      </c>
      <c r="BG190" s="732" t="str">
        <f t="shared" ref="BG190:BG204" si="66">IF(L73="","",BG189+1)</f>
        <v/>
      </c>
      <c r="BH190" s="487" t="str">
        <f t="shared" si="57"/>
        <v/>
      </c>
      <c r="BI190" s="487"/>
      <c r="BJ190" s="487"/>
      <c r="BK190" s="720" t="str">
        <f t="shared" si="58"/>
        <v/>
      </c>
      <c r="BL190" s="700"/>
      <c r="BM190" s="732" t="e">
        <f>IF(#REF!&gt;0,#REF!,"")</f>
        <v>#REF!</v>
      </c>
      <c r="BN190" s="732" t="e">
        <f>IF(#REF!&lt;&gt;"",#REF!,"")</f>
        <v>#REF!</v>
      </c>
      <c r="BO190" s="723" t="str">
        <f t="shared" si="59"/>
        <v/>
      </c>
      <c r="BP190" s="734" t="str">
        <f t="shared" si="60"/>
        <v/>
      </c>
      <c r="BQ190" s="736" t="str">
        <f>IF(L73&lt;&gt;"",#REF!,"")</f>
        <v/>
      </c>
      <c r="BR190" s="737" t="str">
        <f t="shared" si="61"/>
        <v/>
      </c>
      <c r="BS190" s="737" t="str">
        <f>IF(L73&lt;&gt;"",#REF!,"")</f>
        <v/>
      </c>
      <c r="BT190" s="738" t="str">
        <f t="shared" si="62"/>
        <v/>
      </c>
      <c r="BU190" s="730" t="e">
        <f t="shared" ref="BU190:BU204" si="67">IF(AND(BK190&lt;&gt;"",BM190&gt;0),(N(BM190))*BQ190-BS190,"")</f>
        <v>#REF!</v>
      </c>
    </row>
    <row r="191" spans="41:73" ht="24.95" hidden="1" customHeight="1">
      <c r="AO191" s="488" t="str">
        <f t="shared" si="63"/>
        <v/>
      </c>
      <c r="AP191" s="488" t="str">
        <f t="shared" si="52"/>
        <v/>
      </c>
      <c r="AQ191" s="488"/>
      <c r="AR191" s="739"/>
      <c r="AS191" s="720" t="str">
        <f t="shared" si="53"/>
        <v/>
      </c>
      <c r="AT191" s="275"/>
      <c r="AU191" s="489" t="e">
        <f>IF(#REF!&gt;0,#REF!,"")</f>
        <v>#REF!</v>
      </c>
      <c r="AV191" s="489" t="e">
        <f>IF(#REF!&lt;&gt;"",#REF!,"")</f>
        <v>#REF!</v>
      </c>
      <c r="AW191" s="723" t="str">
        <f t="shared" si="54"/>
        <v/>
      </c>
      <c r="AX191" s="741" t="str">
        <f t="shared" si="55"/>
        <v/>
      </c>
      <c r="AY191" s="742" t="str">
        <f>IF(L74&lt;&gt;"",#REF!,"")</f>
        <v/>
      </c>
      <c r="AZ191" s="743" t="str">
        <f t="shared" si="64"/>
        <v/>
      </c>
      <c r="BA191" s="742" t="str">
        <f>IF(L74&lt;&gt;"",#REF!,"")</f>
        <v/>
      </c>
      <c r="BB191" s="743" t="str">
        <f t="shared" si="56"/>
        <v/>
      </c>
      <c r="BC191" s="728" t="e">
        <f t="shared" si="65"/>
        <v>#REF!</v>
      </c>
      <c r="BG191" s="732" t="str">
        <f t="shared" si="66"/>
        <v/>
      </c>
      <c r="BH191" s="487" t="str">
        <f t="shared" si="57"/>
        <v/>
      </c>
      <c r="BI191" s="487"/>
      <c r="BJ191" s="487"/>
      <c r="BK191" s="720" t="str">
        <f t="shared" si="58"/>
        <v/>
      </c>
      <c r="BL191" s="700"/>
      <c r="BM191" s="732" t="e">
        <f>IF(#REF!&gt;0,#REF!,"")</f>
        <v>#REF!</v>
      </c>
      <c r="BN191" s="732" t="e">
        <f>IF(#REF!&lt;&gt;"",#REF!,"")</f>
        <v>#REF!</v>
      </c>
      <c r="BO191" s="723" t="str">
        <f t="shared" si="59"/>
        <v/>
      </c>
      <c r="BP191" s="734" t="str">
        <f t="shared" si="60"/>
        <v/>
      </c>
      <c r="BQ191" s="736" t="str">
        <f>IF(L74&lt;&gt;"",#REF!,"")</f>
        <v/>
      </c>
      <c r="BR191" s="737" t="str">
        <f t="shared" si="61"/>
        <v/>
      </c>
      <c r="BS191" s="737" t="str">
        <f>IF(L74&lt;&gt;"",#REF!,"")</f>
        <v/>
      </c>
      <c r="BT191" s="738" t="str">
        <f t="shared" si="62"/>
        <v/>
      </c>
      <c r="BU191" s="730" t="e">
        <f t="shared" si="67"/>
        <v>#REF!</v>
      </c>
    </row>
    <row r="192" spans="41:73" ht="24.95" hidden="1" customHeight="1">
      <c r="AO192" s="488" t="str">
        <f t="shared" si="63"/>
        <v/>
      </c>
      <c r="AP192" s="488" t="str">
        <f t="shared" si="52"/>
        <v/>
      </c>
      <c r="AQ192" s="488"/>
      <c r="AR192" s="739"/>
      <c r="AS192" s="720" t="str">
        <f t="shared" si="53"/>
        <v/>
      </c>
      <c r="AT192" s="275"/>
      <c r="AU192" s="489" t="e">
        <f>IF(#REF!&gt;0,#REF!,"")</f>
        <v>#REF!</v>
      </c>
      <c r="AV192" s="489" t="e">
        <f>IF(#REF!&lt;&gt;"",#REF!,"")</f>
        <v>#REF!</v>
      </c>
      <c r="AW192" s="723" t="str">
        <f t="shared" si="54"/>
        <v/>
      </c>
      <c r="AX192" s="741" t="str">
        <f t="shared" si="55"/>
        <v/>
      </c>
      <c r="AY192" s="742" t="str">
        <f>IF(L75&lt;&gt;"",#REF!,"")</f>
        <v/>
      </c>
      <c r="AZ192" s="743" t="str">
        <f t="shared" si="64"/>
        <v/>
      </c>
      <c r="BA192" s="742" t="str">
        <f>IF(L75&lt;&gt;"",#REF!,"")</f>
        <v/>
      </c>
      <c r="BB192" s="743" t="str">
        <f t="shared" si="56"/>
        <v/>
      </c>
      <c r="BC192" s="728" t="e">
        <f t="shared" si="65"/>
        <v>#REF!</v>
      </c>
      <c r="BG192" s="732" t="str">
        <f t="shared" si="66"/>
        <v/>
      </c>
      <c r="BH192" s="487" t="str">
        <f t="shared" si="57"/>
        <v/>
      </c>
      <c r="BI192" s="487"/>
      <c r="BJ192" s="487"/>
      <c r="BK192" s="720" t="str">
        <f t="shared" si="58"/>
        <v/>
      </c>
      <c r="BL192" s="700"/>
      <c r="BM192" s="732" t="e">
        <f>IF(#REF!&gt;0,#REF!,"")</f>
        <v>#REF!</v>
      </c>
      <c r="BN192" s="732" t="e">
        <f>IF(#REF!&lt;&gt;"",#REF!,"")</f>
        <v>#REF!</v>
      </c>
      <c r="BO192" s="723" t="str">
        <f t="shared" si="59"/>
        <v/>
      </c>
      <c r="BP192" s="734" t="str">
        <f t="shared" si="60"/>
        <v/>
      </c>
      <c r="BQ192" s="736" t="str">
        <f>IF(L75&lt;&gt;"",#REF!,"")</f>
        <v/>
      </c>
      <c r="BR192" s="737" t="str">
        <f t="shared" si="61"/>
        <v/>
      </c>
      <c r="BS192" s="737" t="str">
        <f>IF(L75&lt;&gt;"",#REF!,"")</f>
        <v/>
      </c>
      <c r="BT192" s="738" t="str">
        <f t="shared" si="62"/>
        <v/>
      </c>
      <c r="BU192" s="730" t="e">
        <f t="shared" si="67"/>
        <v>#REF!</v>
      </c>
    </row>
    <row r="193" spans="41:73" ht="24.95" hidden="1" customHeight="1">
      <c r="AO193" s="488" t="str">
        <f t="shared" si="63"/>
        <v/>
      </c>
      <c r="AP193" s="488" t="str">
        <f t="shared" si="52"/>
        <v/>
      </c>
      <c r="AQ193" s="488"/>
      <c r="AR193" s="739"/>
      <c r="AS193" s="720" t="str">
        <f t="shared" si="53"/>
        <v/>
      </c>
      <c r="AT193" s="275"/>
      <c r="AU193" s="489" t="e">
        <f>IF(#REF!&gt;0,#REF!,"")</f>
        <v>#REF!</v>
      </c>
      <c r="AV193" s="489" t="e">
        <f>IF(#REF!&lt;&gt;"",#REF!,"")</f>
        <v>#REF!</v>
      </c>
      <c r="AW193" s="723" t="str">
        <f t="shared" si="54"/>
        <v/>
      </c>
      <c r="AX193" s="741" t="str">
        <f t="shared" si="55"/>
        <v/>
      </c>
      <c r="AY193" s="742" t="str">
        <f>IF(L76&lt;&gt;"",#REF!,"")</f>
        <v/>
      </c>
      <c r="AZ193" s="743" t="str">
        <f t="shared" si="64"/>
        <v/>
      </c>
      <c r="BA193" s="742" t="str">
        <f>IF(L76&lt;&gt;"",#REF!,"")</f>
        <v/>
      </c>
      <c r="BB193" s="743" t="str">
        <f t="shared" si="56"/>
        <v/>
      </c>
      <c r="BC193" s="728" t="e">
        <f t="shared" si="65"/>
        <v>#REF!</v>
      </c>
      <c r="BG193" s="732" t="str">
        <f t="shared" si="66"/>
        <v/>
      </c>
      <c r="BH193" s="487" t="str">
        <f t="shared" si="57"/>
        <v/>
      </c>
      <c r="BI193" s="487"/>
      <c r="BJ193" s="487"/>
      <c r="BK193" s="720" t="str">
        <f t="shared" si="58"/>
        <v/>
      </c>
      <c r="BL193" s="700"/>
      <c r="BM193" s="732" t="e">
        <f>IF(#REF!&gt;0,#REF!,"")</f>
        <v>#REF!</v>
      </c>
      <c r="BN193" s="732" t="e">
        <f>IF(#REF!&lt;&gt;"",#REF!,"")</f>
        <v>#REF!</v>
      </c>
      <c r="BO193" s="723" t="str">
        <f t="shared" si="59"/>
        <v/>
      </c>
      <c r="BP193" s="734" t="str">
        <f t="shared" si="60"/>
        <v/>
      </c>
      <c r="BQ193" s="736" t="str">
        <f>IF(L76&lt;&gt;"",#REF!,"")</f>
        <v/>
      </c>
      <c r="BR193" s="737" t="str">
        <f t="shared" si="61"/>
        <v/>
      </c>
      <c r="BS193" s="737" t="str">
        <f>IF(L76&lt;&gt;"",#REF!,"")</f>
        <v/>
      </c>
      <c r="BT193" s="738" t="str">
        <f t="shared" si="62"/>
        <v/>
      </c>
      <c r="BU193" s="730" t="e">
        <f t="shared" si="67"/>
        <v>#REF!</v>
      </c>
    </row>
    <row r="194" spans="41:73" ht="24.95" hidden="1" customHeight="1">
      <c r="AO194" s="488" t="str">
        <f t="shared" si="63"/>
        <v/>
      </c>
      <c r="AP194" s="488" t="str">
        <f t="shared" si="52"/>
        <v/>
      </c>
      <c r="AQ194" s="488"/>
      <c r="AR194" s="739"/>
      <c r="AS194" s="720" t="str">
        <f t="shared" si="53"/>
        <v/>
      </c>
      <c r="AT194" s="275"/>
      <c r="AU194" s="489" t="e">
        <f>IF(#REF!&gt;0,#REF!,"")</f>
        <v>#REF!</v>
      </c>
      <c r="AV194" s="489" t="e">
        <f>IF(#REF!&lt;&gt;"",#REF!,"")</f>
        <v>#REF!</v>
      </c>
      <c r="AW194" s="723" t="str">
        <f t="shared" si="54"/>
        <v/>
      </c>
      <c r="AX194" s="741" t="str">
        <f t="shared" si="55"/>
        <v/>
      </c>
      <c r="AY194" s="742" t="str">
        <f>IF(L77&lt;&gt;"",#REF!,"")</f>
        <v/>
      </c>
      <c r="AZ194" s="743" t="str">
        <f t="shared" si="64"/>
        <v/>
      </c>
      <c r="BA194" s="742" t="str">
        <f>IF(L77&lt;&gt;"",#REF!,"")</f>
        <v/>
      </c>
      <c r="BB194" s="743" t="str">
        <f t="shared" si="56"/>
        <v/>
      </c>
      <c r="BC194" s="728" t="e">
        <f t="shared" si="65"/>
        <v>#REF!</v>
      </c>
      <c r="BG194" s="732" t="str">
        <f t="shared" si="66"/>
        <v/>
      </c>
      <c r="BH194" s="487" t="str">
        <f t="shared" si="57"/>
        <v/>
      </c>
      <c r="BI194" s="487"/>
      <c r="BJ194" s="487"/>
      <c r="BK194" s="720" t="str">
        <f t="shared" si="58"/>
        <v/>
      </c>
      <c r="BL194" s="700"/>
      <c r="BM194" s="732" t="e">
        <f>IF(#REF!&gt;0,#REF!,"")</f>
        <v>#REF!</v>
      </c>
      <c r="BN194" s="732" t="e">
        <f>IF(#REF!&lt;&gt;"",#REF!,"")</f>
        <v>#REF!</v>
      </c>
      <c r="BO194" s="723" t="str">
        <f t="shared" si="59"/>
        <v/>
      </c>
      <c r="BP194" s="734" t="str">
        <f t="shared" si="60"/>
        <v/>
      </c>
      <c r="BQ194" s="736" t="str">
        <f>IF(L77&lt;&gt;"",#REF!,"")</f>
        <v/>
      </c>
      <c r="BR194" s="737" t="str">
        <f t="shared" si="61"/>
        <v/>
      </c>
      <c r="BS194" s="737" t="str">
        <f>IF(L77&lt;&gt;"",#REF!,"")</f>
        <v/>
      </c>
      <c r="BT194" s="738" t="str">
        <f t="shared" si="62"/>
        <v/>
      </c>
      <c r="BU194" s="730" t="e">
        <f t="shared" si="67"/>
        <v>#REF!</v>
      </c>
    </row>
    <row r="195" spans="41:73" ht="24.95" hidden="1" customHeight="1">
      <c r="AO195" s="488" t="str">
        <f t="shared" si="63"/>
        <v/>
      </c>
      <c r="AP195" s="488" t="str">
        <f t="shared" si="52"/>
        <v/>
      </c>
      <c r="AQ195" s="488"/>
      <c r="AR195" s="739"/>
      <c r="AS195" s="720" t="str">
        <f t="shared" si="53"/>
        <v/>
      </c>
      <c r="AT195" s="275"/>
      <c r="AU195" s="489" t="e">
        <f>IF(#REF!&gt;0,#REF!,"")</f>
        <v>#REF!</v>
      </c>
      <c r="AV195" s="489" t="e">
        <f>IF(#REF!&lt;&gt;"",#REF!,"")</f>
        <v>#REF!</v>
      </c>
      <c r="AW195" s="723" t="str">
        <f t="shared" si="54"/>
        <v/>
      </c>
      <c r="AX195" s="741" t="str">
        <f t="shared" si="55"/>
        <v/>
      </c>
      <c r="AY195" s="742" t="str">
        <f>IF(L78&lt;&gt;"",#REF!,"")</f>
        <v/>
      </c>
      <c r="AZ195" s="743" t="str">
        <f t="shared" si="64"/>
        <v/>
      </c>
      <c r="BA195" s="742" t="str">
        <f>IF(L78&lt;&gt;"",#REF!,"")</f>
        <v/>
      </c>
      <c r="BB195" s="743" t="str">
        <f t="shared" si="56"/>
        <v/>
      </c>
      <c r="BC195" s="728" t="e">
        <f t="shared" si="65"/>
        <v>#REF!</v>
      </c>
      <c r="BG195" s="732" t="str">
        <f t="shared" si="66"/>
        <v/>
      </c>
      <c r="BH195" s="487" t="str">
        <f t="shared" si="57"/>
        <v/>
      </c>
      <c r="BI195" s="487"/>
      <c r="BJ195" s="487"/>
      <c r="BK195" s="720" t="str">
        <f t="shared" si="58"/>
        <v/>
      </c>
      <c r="BL195" s="700"/>
      <c r="BM195" s="732" t="e">
        <f>IF(#REF!&gt;0,#REF!,"")</f>
        <v>#REF!</v>
      </c>
      <c r="BN195" s="732" t="e">
        <f>IF(#REF!&lt;&gt;"",#REF!,"")</f>
        <v>#REF!</v>
      </c>
      <c r="BO195" s="723" t="str">
        <f t="shared" si="59"/>
        <v/>
      </c>
      <c r="BP195" s="734" t="str">
        <f t="shared" si="60"/>
        <v/>
      </c>
      <c r="BQ195" s="736" t="str">
        <f>IF(L78&lt;&gt;"",#REF!,"")</f>
        <v/>
      </c>
      <c r="BR195" s="737" t="str">
        <f t="shared" si="61"/>
        <v/>
      </c>
      <c r="BS195" s="737" t="str">
        <f>IF(L78&lt;&gt;"",#REF!,"")</f>
        <v/>
      </c>
      <c r="BT195" s="738" t="str">
        <f t="shared" si="62"/>
        <v/>
      </c>
      <c r="BU195" s="730" t="e">
        <f t="shared" si="67"/>
        <v>#REF!</v>
      </c>
    </row>
    <row r="196" spans="41:73" ht="24.95" hidden="1" customHeight="1">
      <c r="AO196" s="488" t="str">
        <f t="shared" si="63"/>
        <v/>
      </c>
      <c r="AP196" s="488" t="str">
        <f t="shared" si="52"/>
        <v/>
      </c>
      <c r="AQ196" s="488"/>
      <c r="AR196" s="739"/>
      <c r="AS196" s="720" t="str">
        <f t="shared" si="53"/>
        <v/>
      </c>
      <c r="AT196" s="275"/>
      <c r="AU196" s="489" t="e">
        <f>IF(#REF!&gt;0,#REF!,"")</f>
        <v>#REF!</v>
      </c>
      <c r="AV196" s="489" t="e">
        <f>IF(#REF!&lt;&gt;"",#REF!,"")</f>
        <v>#REF!</v>
      </c>
      <c r="AW196" s="723" t="str">
        <f t="shared" si="54"/>
        <v/>
      </c>
      <c r="AX196" s="741" t="str">
        <f t="shared" si="55"/>
        <v/>
      </c>
      <c r="AY196" s="742" t="str">
        <f>IF(L79&lt;&gt;"",#REF!,"")</f>
        <v/>
      </c>
      <c r="AZ196" s="743" t="str">
        <f t="shared" si="64"/>
        <v/>
      </c>
      <c r="BA196" s="742" t="str">
        <f>IF(L79&lt;&gt;"",#REF!,"")</f>
        <v/>
      </c>
      <c r="BB196" s="743" t="str">
        <f t="shared" si="56"/>
        <v/>
      </c>
      <c r="BC196" s="728" t="e">
        <f t="shared" si="65"/>
        <v>#REF!</v>
      </c>
      <c r="BG196" s="732" t="str">
        <f t="shared" si="66"/>
        <v/>
      </c>
      <c r="BH196" s="487" t="str">
        <f t="shared" si="57"/>
        <v/>
      </c>
      <c r="BI196" s="487"/>
      <c r="BJ196" s="487"/>
      <c r="BK196" s="720" t="str">
        <f t="shared" si="58"/>
        <v/>
      </c>
      <c r="BL196" s="700"/>
      <c r="BM196" s="732" t="e">
        <f>IF(#REF!&gt;0,#REF!,"")</f>
        <v>#REF!</v>
      </c>
      <c r="BN196" s="732" t="e">
        <f>IF(#REF!&lt;&gt;"",#REF!,"")</f>
        <v>#REF!</v>
      </c>
      <c r="BO196" s="723" t="str">
        <f t="shared" si="59"/>
        <v/>
      </c>
      <c r="BP196" s="734" t="str">
        <f t="shared" si="60"/>
        <v/>
      </c>
      <c r="BQ196" s="736" t="str">
        <f>IF(L79&lt;&gt;"",#REF!,"")</f>
        <v/>
      </c>
      <c r="BR196" s="737" t="str">
        <f t="shared" si="61"/>
        <v/>
      </c>
      <c r="BS196" s="737" t="str">
        <f>IF(L79&lt;&gt;"",#REF!,"")</f>
        <v/>
      </c>
      <c r="BT196" s="738" t="str">
        <f t="shared" si="62"/>
        <v/>
      </c>
      <c r="BU196" s="730" t="e">
        <f t="shared" si="67"/>
        <v>#REF!</v>
      </c>
    </row>
    <row r="197" spans="41:73" ht="24.95" hidden="1" customHeight="1">
      <c r="AO197" s="488" t="str">
        <f t="shared" si="63"/>
        <v/>
      </c>
      <c r="AP197" s="488" t="str">
        <f t="shared" si="52"/>
        <v/>
      </c>
      <c r="AQ197" s="488"/>
      <c r="AR197" s="739"/>
      <c r="AS197" s="720" t="str">
        <f t="shared" si="53"/>
        <v/>
      </c>
      <c r="AT197" s="275"/>
      <c r="AU197" s="489" t="e">
        <f>IF(#REF!&gt;0,#REF!,"")</f>
        <v>#REF!</v>
      </c>
      <c r="AV197" s="489" t="e">
        <f>IF(#REF!&lt;&gt;"",#REF!,"")</f>
        <v>#REF!</v>
      </c>
      <c r="AW197" s="723" t="str">
        <f t="shared" si="54"/>
        <v/>
      </c>
      <c r="AX197" s="741" t="str">
        <f t="shared" si="55"/>
        <v/>
      </c>
      <c r="AY197" s="742" t="str">
        <f>IF(L80&lt;&gt;"",#REF!,"")</f>
        <v/>
      </c>
      <c r="AZ197" s="743" t="str">
        <f t="shared" si="64"/>
        <v/>
      </c>
      <c r="BA197" s="742" t="str">
        <f>IF(L80&lt;&gt;"",#REF!,"")</f>
        <v/>
      </c>
      <c r="BB197" s="743" t="str">
        <f t="shared" si="56"/>
        <v/>
      </c>
      <c r="BC197" s="728" t="e">
        <f t="shared" si="65"/>
        <v>#REF!</v>
      </c>
      <c r="BG197" s="732" t="str">
        <f t="shared" si="66"/>
        <v/>
      </c>
      <c r="BH197" s="487" t="str">
        <f t="shared" si="57"/>
        <v/>
      </c>
      <c r="BI197" s="487"/>
      <c r="BJ197" s="487"/>
      <c r="BK197" s="720" t="str">
        <f t="shared" si="58"/>
        <v/>
      </c>
      <c r="BL197" s="700"/>
      <c r="BM197" s="732" t="e">
        <f>IF(#REF!&gt;0,#REF!,"")</f>
        <v>#REF!</v>
      </c>
      <c r="BN197" s="732" t="e">
        <f>IF(#REF!&lt;&gt;"",#REF!,"")</f>
        <v>#REF!</v>
      </c>
      <c r="BO197" s="723" t="str">
        <f t="shared" si="59"/>
        <v/>
      </c>
      <c r="BP197" s="734" t="str">
        <f t="shared" si="60"/>
        <v/>
      </c>
      <c r="BQ197" s="736" t="str">
        <f>IF(L80&lt;&gt;"",#REF!,"")</f>
        <v/>
      </c>
      <c r="BR197" s="737" t="str">
        <f t="shared" si="61"/>
        <v/>
      </c>
      <c r="BS197" s="737" t="str">
        <f>IF(L80&lt;&gt;"",#REF!,"")</f>
        <v/>
      </c>
      <c r="BT197" s="738" t="str">
        <f t="shared" si="62"/>
        <v/>
      </c>
      <c r="BU197" s="730" t="e">
        <f t="shared" si="67"/>
        <v>#REF!</v>
      </c>
    </row>
    <row r="198" spans="41:73" ht="24.95" hidden="1" customHeight="1">
      <c r="AO198" s="488" t="str">
        <f t="shared" si="63"/>
        <v/>
      </c>
      <c r="AP198" s="488" t="str">
        <f t="shared" si="52"/>
        <v/>
      </c>
      <c r="AQ198" s="488"/>
      <c r="AR198" s="739"/>
      <c r="AS198" s="720" t="str">
        <f t="shared" si="53"/>
        <v/>
      </c>
      <c r="AT198" s="275"/>
      <c r="AU198" s="489" t="e">
        <f>IF(#REF!&gt;0,#REF!,"")</f>
        <v>#REF!</v>
      </c>
      <c r="AV198" s="489" t="e">
        <f>IF(#REF!&lt;&gt;"",#REF!,"")</f>
        <v>#REF!</v>
      </c>
      <c r="AW198" s="723" t="str">
        <f t="shared" si="54"/>
        <v/>
      </c>
      <c r="AX198" s="741" t="str">
        <f t="shared" si="55"/>
        <v/>
      </c>
      <c r="AY198" s="742" t="str">
        <f>IF(L81&lt;&gt;"",#REF!,"")</f>
        <v/>
      </c>
      <c r="AZ198" s="743" t="str">
        <f t="shared" si="64"/>
        <v/>
      </c>
      <c r="BA198" s="742" t="str">
        <f>IF(L81&lt;&gt;"",#REF!,"")</f>
        <v/>
      </c>
      <c r="BB198" s="743" t="str">
        <f t="shared" si="56"/>
        <v/>
      </c>
      <c r="BC198" s="728" t="e">
        <f t="shared" si="65"/>
        <v>#REF!</v>
      </c>
      <c r="BG198" s="732" t="str">
        <f t="shared" si="66"/>
        <v/>
      </c>
      <c r="BH198" s="487" t="str">
        <f t="shared" si="57"/>
        <v/>
      </c>
      <c r="BI198" s="487"/>
      <c r="BJ198" s="487"/>
      <c r="BK198" s="720" t="str">
        <f t="shared" si="58"/>
        <v/>
      </c>
      <c r="BL198" s="700"/>
      <c r="BM198" s="732" t="e">
        <f>IF(#REF!&gt;0,#REF!,"")</f>
        <v>#REF!</v>
      </c>
      <c r="BN198" s="732" t="e">
        <f>IF(#REF!&lt;&gt;"",#REF!,"")</f>
        <v>#REF!</v>
      </c>
      <c r="BO198" s="723" t="str">
        <f t="shared" si="59"/>
        <v/>
      </c>
      <c r="BP198" s="734" t="str">
        <f t="shared" si="60"/>
        <v/>
      </c>
      <c r="BQ198" s="736" t="str">
        <f>IF(L81&lt;&gt;"",#REF!,"")</f>
        <v/>
      </c>
      <c r="BR198" s="737" t="str">
        <f t="shared" si="61"/>
        <v/>
      </c>
      <c r="BS198" s="737" t="str">
        <f>IF(L81&lt;&gt;"",#REF!,"")</f>
        <v/>
      </c>
      <c r="BT198" s="738" t="str">
        <f t="shared" si="62"/>
        <v/>
      </c>
      <c r="BU198" s="730" t="e">
        <f t="shared" si="67"/>
        <v>#REF!</v>
      </c>
    </row>
    <row r="199" spans="41:73" ht="24.95" hidden="1" customHeight="1">
      <c r="AO199" s="488" t="str">
        <f t="shared" si="63"/>
        <v/>
      </c>
      <c r="AP199" s="488" t="str">
        <f t="shared" si="52"/>
        <v/>
      </c>
      <c r="AQ199" s="488"/>
      <c r="AR199" s="739"/>
      <c r="AS199" s="720" t="str">
        <f t="shared" si="53"/>
        <v/>
      </c>
      <c r="AT199" s="275"/>
      <c r="AU199" s="489" t="e">
        <f>IF(#REF!&gt;0,#REF!,"")</f>
        <v>#REF!</v>
      </c>
      <c r="AV199" s="489" t="e">
        <f>IF(#REF!&lt;&gt;"",#REF!,"")</f>
        <v>#REF!</v>
      </c>
      <c r="AW199" s="723" t="str">
        <f t="shared" si="54"/>
        <v/>
      </c>
      <c r="AX199" s="741" t="str">
        <f t="shared" si="55"/>
        <v/>
      </c>
      <c r="AY199" s="742" t="str">
        <f>IF(L82&lt;&gt;"",#REF!,"")</f>
        <v/>
      </c>
      <c r="AZ199" s="743" t="str">
        <f t="shared" si="64"/>
        <v/>
      </c>
      <c r="BA199" s="742" t="str">
        <f>IF(L82&lt;&gt;"",#REF!,"")</f>
        <v/>
      </c>
      <c r="BB199" s="743" t="str">
        <f t="shared" si="56"/>
        <v/>
      </c>
      <c r="BC199" s="728" t="e">
        <f t="shared" si="65"/>
        <v>#REF!</v>
      </c>
      <c r="BG199" s="732" t="str">
        <f t="shared" si="66"/>
        <v/>
      </c>
      <c r="BH199" s="487" t="str">
        <f t="shared" si="57"/>
        <v/>
      </c>
      <c r="BI199" s="487"/>
      <c r="BJ199" s="487"/>
      <c r="BK199" s="720" t="str">
        <f t="shared" si="58"/>
        <v/>
      </c>
      <c r="BL199" s="700"/>
      <c r="BM199" s="732" t="e">
        <f>IF(#REF!&gt;0,#REF!,"")</f>
        <v>#REF!</v>
      </c>
      <c r="BN199" s="732" t="e">
        <f>IF(#REF!&lt;&gt;"",#REF!,"")</f>
        <v>#REF!</v>
      </c>
      <c r="BO199" s="723" t="str">
        <f t="shared" si="59"/>
        <v/>
      </c>
      <c r="BP199" s="734" t="str">
        <f t="shared" si="60"/>
        <v/>
      </c>
      <c r="BQ199" s="736" t="str">
        <f>IF(L82&lt;&gt;"",#REF!,"")</f>
        <v/>
      </c>
      <c r="BR199" s="737" t="str">
        <f t="shared" si="61"/>
        <v/>
      </c>
      <c r="BS199" s="737" t="str">
        <f>IF(L82&lt;&gt;"",#REF!,"")</f>
        <v/>
      </c>
      <c r="BT199" s="738" t="str">
        <f t="shared" si="62"/>
        <v/>
      </c>
      <c r="BU199" s="730" t="e">
        <f t="shared" si="67"/>
        <v>#REF!</v>
      </c>
    </row>
    <row r="200" spans="41:73" ht="24.95" hidden="1" customHeight="1">
      <c r="AO200" s="488" t="str">
        <f t="shared" si="63"/>
        <v/>
      </c>
      <c r="AP200" s="488" t="str">
        <f t="shared" si="52"/>
        <v/>
      </c>
      <c r="AQ200" s="488"/>
      <c r="AR200" s="739"/>
      <c r="AS200" s="720" t="str">
        <f t="shared" si="53"/>
        <v/>
      </c>
      <c r="AT200" s="275"/>
      <c r="AU200" s="489" t="e">
        <f>IF(#REF!&gt;0,#REF!,"")</f>
        <v>#REF!</v>
      </c>
      <c r="AV200" s="489" t="e">
        <f>IF(#REF!&lt;&gt;"",#REF!,"")</f>
        <v>#REF!</v>
      </c>
      <c r="AW200" s="723" t="str">
        <f t="shared" si="54"/>
        <v/>
      </c>
      <c r="AX200" s="741" t="str">
        <f t="shared" si="55"/>
        <v/>
      </c>
      <c r="AY200" s="742" t="str">
        <f>IF(L83&lt;&gt;"",#REF!,"")</f>
        <v/>
      </c>
      <c r="AZ200" s="743" t="str">
        <f t="shared" si="64"/>
        <v/>
      </c>
      <c r="BA200" s="742" t="str">
        <f>IF(L83&lt;&gt;"",#REF!,"")</f>
        <v/>
      </c>
      <c r="BB200" s="743" t="str">
        <f t="shared" si="56"/>
        <v/>
      </c>
      <c r="BC200" s="728" t="e">
        <f t="shared" si="65"/>
        <v>#REF!</v>
      </c>
      <c r="BG200" s="732" t="str">
        <f t="shared" si="66"/>
        <v/>
      </c>
      <c r="BH200" s="487" t="str">
        <f t="shared" si="57"/>
        <v/>
      </c>
      <c r="BI200" s="487"/>
      <c r="BJ200" s="487"/>
      <c r="BK200" s="720" t="str">
        <f t="shared" si="58"/>
        <v/>
      </c>
      <c r="BL200" s="700"/>
      <c r="BM200" s="732" t="e">
        <f>IF(#REF!&gt;0,#REF!,"")</f>
        <v>#REF!</v>
      </c>
      <c r="BN200" s="732" t="e">
        <f>IF(#REF!&lt;&gt;"",#REF!,"")</f>
        <v>#REF!</v>
      </c>
      <c r="BO200" s="723" t="str">
        <f t="shared" si="59"/>
        <v/>
      </c>
      <c r="BP200" s="734" t="str">
        <f t="shared" si="60"/>
        <v/>
      </c>
      <c r="BQ200" s="736" t="str">
        <f>IF(L83&lt;&gt;"",#REF!,"")</f>
        <v/>
      </c>
      <c r="BR200" s="737" t="str">
        <f t="shared" si="61"/>
        <v/>
      </c>
      <c r="BS200" s="737" t="str">
        <f>IF(L83&lt;&gt;"",#REF!,"")</f>
        <v/>
      </c>
      <c r="BT200" s="738" t="str">
        <f t="shared" si="62"/>
        <v/>
      </c>
      <c r="BU200" s="730" t="e">
        <f t="shared" si="67"/>
        <v>#REF!</v>
      </c>
    </row>
    <row r="201" spans="41:73" ht="24.95" hidden="1" customHeight="1">
      <c r="AO201" s="488" t="str">
        <f t="shared" si="63"/>
        <v/>
      </c>
      <c r="AP201" s="488" t="str">
        <f t="shared" si="52"/>
        <v/>
      </c>
      <c r="AQ201" s="488"/>
      <c r="AR201" s="739"/>
      <c r="AS201" s="274" t="str">
        <f>IF(L84&lt;&gt;"",MID(L84,4,100),"")</f>
        <v/>
      </c>
      <c r="AT201" s="275"/>
      <c r="AU201" s="489" t="e">
        <f>IF(#REF!&gt;0,#REF!,"")</f>
        <v>#REF!</v>
      </c>
      <c r="AV201" s="489" t="e">
        <f>IF(#REF!&lt;&gt;"",#REF!,"")</f>
        <v>#REF!</v>
      </c>
      <c r="AW201" s="740" t="str">
        <f>IF(L84&lt;&gt;"",MID(M84,4,100),"")</f>
        <v/>
      </c>
      <c r="AX201" s="741" t="str">
        <f t="shared" si="55"/>
        <v/>
      </c>
      <c r="AY201" s="742" t="str">
        <f>IF(L84&lt;&gt;"",#REF!,"")</f>
        <v/>
      </c>
      <c r="AZ201" s="743" t="str">
        <f t="shared" si="64"/>
        <v/>
      </c>
      <c r="BA201" s="742" t="str">
        <f>IF(L84&lt;&gt;"",#REF!,"")</f>
        <v/>
      </c>
      <c r="BB201" s="743" t="str">
        <f t="shared" si="56"/>
        <v/>
      </c>
      <c r="BC201" s="728" t="e">
        <f t="shared" si="65"/>
        <v>#REF!</v>
      </c>
      <c r="BG201" s="732" t="str">
        <f t="shared" si="66"/>
        <v/>
      </c>
      <c r="BH201" s="487" t="str">
        <f t="shared" si="57"/>
        <v/>
      </c>
      <c r="BI201" s="487"/>
      <c r="BJ201" s="487"/>
      <c r="BK201" s="720" t="str">
        <f t="shared" si="58"/>
        <v/>
      </c>
      <c r="BL201" s="700"/>
      <c r="BM201" s="732" t="e">
        <f>IF(#REF!&gt;0,#REF!,"")</f>
        <v>#REF!</v>
      </c>
      <c r="BN201" s="732" t="e">
        <f>IF(#REF!&lt;&gt;"",#REF!,"")</f>
        <v>#REF!</v>
      </c>
      <c r="BO201" s="723" t="str">
        <f t="shared" si="59"/>
        <v/>
      </c>
      <c r="BP201" s="734" t="str">
        <f t="shared" si="60"/>
        <v/>
      </c>
      <c r="BQ201" s="736" t="str">
        <f>IF(L84&lt;&gt;"",#REF!,"")</f>
        <v/>
      </c>
      <c r="BR201" s="737" t="str">
        <f t="shared" si="61"/>
        <v/>
      </c>
      <c r="BS201" s="737" t="str">
        <f>IF(L84&lt;&gt;"",#REF!,"")</f>
        <v/>
      </c>
      <c r="BT201" s="738" t="str">
        <f t="shared" si="62"/>
        <v/>
      </c>
      <c r="BU201" s="730" t="e">
        <f t="shared" si="67"/>
        <v>#REF!</v>
      </c>
    </row>
    <row r="202" spans="41:73" ht="24.95" hidden="1" customHeight="1">
      <c r="AO202" s="488" t="str">
        <f t="shared" si="63"/>
        <v/>
      </c>
      <c r="AP202" s="488" t="str">
        <f t="shared" si="52"/>
        <v/>
      </c>
      <c r="AQ202" s="488"/>
      <c r="AR202" s="739"/>
      <c r="AS202" s="274" t="str">
        <f>IF(L85&lt;&gt;"",MID(L85,4,100),"")</f>
        <v/>
      </c>
      <c r="AT202" s="275"/>
      <c r="AU202" s="489" t="e">
        <f>IF(#REF!&gt;0,#REF!,"")</f>
        <v>#REF!</v>
      </c>
      <c r="AV202" s="489" t="e">
        <f>IF(#REF!&lt;&gt;"",#REF!,"")</f>
        <v>#REF!</v>
      </c>
      <c r="AW202" s="740" t="str">
        <f>IF(L85&lt;&gt;"",MID(M85,4,100),"")</f>
        <v/>
      </c>
      <c r="AX202" s="741" t="str">
        <f t="shared" si="55"/>
        <v/>
      </c>
      <c r="AY202" s="742" t="str">
        <f>IF(L85&lt;&gt;"",#REF!,"")</f>
        <v/>
      </c>
      <c r="AZ202" s="743" t="str">
        <f t="shared" si="64"/>
        <v/>
      </c>
      <c r="BA202" s="742" t="str">
        <f>IF(L85&lt;&gt;"",#REF!,"")</f>
        <v/>
      </c>
      <c r="BB202" s="743" t="str">
        <f t="shared" si="56"/>
        <v/>
      </c>
      <c r="BC202" s="728" t="e">
        <f t="shared" si="65"/>
        <v>#REF!</v>
      </c>
      <c r="BG202" s="732" t="str">
        <f t="shared" si="66"/>
        <v/>
      </c>
      <c r="BH202" s="487" t="str">
        <f t="shared" si="57"/>
        <v/>
      </c>
      <c r="BI202" s="487"/>
      <c r="BJ202" s="487"/>
      <c r="BK202" s="720" t="str">
        <f t="shared" si="58"/>
        <v/>
      </c>
      <c r="BL202" s="700"/>
      <c r="BM202" s="732" t="e">
        <f>IF(#REF!&gt;0,#REF!,"")</f>
        <v>#REF!</v>
      </c>
      <c r="BN202" s="732" t="e">
        <f>IF(#REF!&lt;&gt;"",#REF!,"")</f>
        <v>#REF!</v>
      </c>
      <c r="BO202" s="723" t="str">
        <f t="shared" si="59"/>
        <v/>
      </c>
      <c r="BP202" s="734" t="str">
        <f t="shared" si="60"/>
        <v/>
      </c>
      <c r="BQ202" s="736" t="str">
        <f>IF(L85&lt;&gt;"",#REF!,"")</f>
        <v/>
      </c>
      <c r="BR202" s="737" t="str">
        <f t="shared" si="61"/>
        <v/>
      </c>
      <c r="BS202" s="737" t="str">
        <f>IF(L85&lt;&gt;"",#REF!,"")</f>
        <v/>
      </c>
      <c r="BT202" s="738" t="str">
        <f t="shared" si="62"/>
        <v/>
      </c>
      <c r="BU202" s="730" t="e">
        <f t="shared" si="67"/>
        <v>#REF!</v>
      </c>
    </row>
    <row r="203" spans="41:73" ht="24.95" hidden="1" customHeight="1">
      <c r="AO203" s="488" t="str">
        <f t="shared" si="63"/>
        <v/>
      </c>
      <c r="AP203" s="488" t="str">
        <f t="shared" si="52"/>
        <v/>
      </c>
      <c r="AQ203" s="488"/>
      <c r="AR203" s="739"/>
      <c r="AS203" s="274" t="str">
        <f>IF(L86&lt;&gt;"",MID(L86,4,100),"")</f>
        <v/>
      </c>
      <c r="AT203" s="275"/>
      <c r="AU203" s="489" t="e">
        <f>IF(#REF!&gt;0,#REF!,"")</f>
        <v>#REF!</v>
      </c>
      <c r="AV203" s="489" t="e">
        <f>IF(#REF!&lt;&gt;"",#REF!,"")</f>
        <v>#REF!</v>
      </c>
      <c r="AW203" s="740" t="str">
        <f>IF(L86&lt;&gt;"",MID(M86,4,100),"")</f>
        <v/>
      </c>
      <c r="AX203" s="741" t="str">
        <f t="shared" si="55"/>
        <v/>
      </c>
      <c r="AY203" s="742" t="str">
        <f>IF(L86&lt;&gt;"",#REF!,"")</f>
        <v/>
      </c>
      <c r="AZ203" s="743" t="str">
        <f t="shared" si="64"/>
        <v/>
      </c>
      <c r="BA203" s="742" t="str">
        <f>IF(L86&lt;&gt;"",#REF!,"")</f>
        <v/>
      </c>
      <c r="BB203" s="743" t="str">
        <f t="shared" si="56"/>
        <v/>
      </c>
      <c r="BC203" s="728" t="e">
        <f t="shared" si="65"/>
        <v>#REF!</v>
      </c>
      <c r="BG203" s="732" t="str">
        <f t="shared" si="66"/>
        <v/>
      </c>
      <c r="BH203" s="487" t="str">
        <f t="shared" si="57"/>
        <v/>
      </c>
      <c r="BI203" s="487"/>
      <c r="BJ203" s="487"/>
      <c r="BK203" s="720" t="str">
        <f t="shared" si="58"/>
        <v/>
      </c>
      <c r="BL203" s="700"/>
      <c r="BM203" s="732" t="e">
        <f>IF(#REF!&gt;0,#REF!,"")</f>
        <v>#REF!</v>
      </c>
      <c r="BN203" s="732" t="e">
        <f>IF(#REF!&lt;&gt;"",#REF!,"")</f>
        <v>#REF!</v>
      </c>
      <c r="BO203" s="723" t="str">
        <f t="shared" si="59"/>
        <v/>
      </c>
      <c r="BP203" s="734" t="str">
        <f t="shared" si="60"/>
        <v/>
      </c>
      <c r="BQ203" s="736" t="str">
        <f>IF(L86&lt;&gt;"",#REF!,"")</f>
        <v/>
      </c>
      <c r="BR203" s="737" t="str">
        <f t="shared" si="61"/>
        <v/>
      </c>
      <c r="BS203" s="737" t="str">
        <f>IF(L86&lt;&gt;"",#REF!,"")</f>
        <v/>
      </c>
      <c r="BT203" s="738" t="str">
        <f t="shared" si="62"/>
        <v/>
      </c>
      <c r="BU203" s="730" t="e">
        <f t="shared" si="67"/>
        <v>#REF!</v>
      </c>
    </row>
    <row r="204" spans="41:73" ht="24.95" hidden="1" customHeight="1">
      <c r="AO204" s="488" t="str">
        <f t="shared" si="63"/>
        <v/>
      </c>
      <c r="AP204" s="488" t="str">
        <f t="shared" si="52"/>
        <v/>
      </c>
      <c r="AQ204" s="488"/>
      <c r="AR204" s="739"/>
      <c r="AS204" s="274" t="str">
        <f>IF(L87&lt;&gt;"",MID(L87,4,100),"")</f>
        <v/>
      </c>
      <c r="AT204" s="275"/>
      <c r="AU204" s="489" t="e">
        <f>IF(#REF!&gt;0,#REF!,"")</f>
        <v>#REF!</v>
      </c>
      <c r="AV204" s="489" t="e">
        <f>IF(#REF!&lt;&gt;"",#REF!,"")</f>
        <v>#REF!</v>
      </c>
      <c r="AW204" s="740" t="str">
        <f>IF(L87&lt;&gt;"",MID(M87,4,100),"")</f>
        <v/>
      </c>
      <c r="AX204" s="741" t="str">
        <f t="shared" si="55"/>
        <v/>
      </c>
      <c r="AY204" s="742" t="str">
        <f>IF(L87&lt;&gt;"",#REF!,"")</f>
        <v/>
      </c>
      <c r="AZ204" s="743" t="str">
        <f t="shared" si="64"/>
        <v/>
      </c>
      <c r="BA204" s="742" t="str">
        <f>IF(L87&lt;&gt;"",#REF!,"")</f>
        <v/>
      </c>
      <c r="BB204" s="743" t="str">
        <f t="shared" si="56"/>
        <v/>
      </c>
      <c r="BC204" s="728" t="e">
        <f t="shared" si="65"/>
        <v>#REF!</v>
      </c>
      <c r="BG204" s="732" t="str">
        <f t="shared" si="66"/>
        <v/>
      </c>
      <c r="BH204" s="487" t="str">
        <f t="shared" si="57"/>
        <v/>
      </c>
      <c r="BI204" s="487"/>
      <c r="BJ204" s="487"/>
      <c r="BK204" s="720" t="str">
        <f t="shared" si="58"/>
        <v/>
      </c>
      <c r="BL204" s="700"/>
      <c r="BM204" s="732" t="e">
        <f>IF(#REF!&gt;0,#REF!,"")</f>
        <v>#REF!</v>
      </c>
      <c r="BN204" s="732" t="e">
        <f>IF(#REF!&lt;&gt;"",#REF!,"")</f>
        <v>#REF!</v>
      </c>
      <c r="BO204" s="723" t="str">
        <f t="shared" si="59"/>
        <v/>
      </c>
      <c r="BP204" s="734" t="str">
        <f t="shared" si="60"/>
        <v/>
      </c>
      <c r="BQ204" s="736" t="str">
        <f>IF(L87&lt;&gt;"",#REF!,"")</f>
        <v/>
      </c>
      <c r="BR204" s="737" t="str">
        <f t="shared" si="61"/>
        <v/>
      </c>
      <c r="BS204" s="737" t="str">
        <f>IF(L87&lt;&gt;"",#REF!,"")</f>
        <v/>
      </c>
      <c r="BT204" s="738" t="str">
        <f t="shared" si="62"/>
        <v/>
      </c>
      <c r="BU204" s="730" t="e">
        <f t="shared" si="67"/>
        <v>#REF!</v>
      </c>
    </row>
    <row r="205" spans="41:73" ht="24.95" customHeight="1">
      <c r="AO205" s="135"/>
      <c r="BA205" s="744" t="s">
        <v>1719</v>
      </c>
      <c r="BB205" s="745" t="str">
        <f>quote_currency_symbol</f>
        <v>$</v>
      </c>
      <c r="BC205" s="746" t="e">
        <f>SUM(BC125:BC204)</f>
        <v>#REF!</v>
      </c>
      <c r="BG205" s="127"/>
      <c r="BS205" s="744" t="s">
        <v>1719</v>
      </c>
      <c r="BT205" s="744" t="str">
        <f>quote_currency_symbol</f>
        <v>$</v>
      </c>
      <c r="BU205" s="747" t="e">
        <f>SUM(BU125:BU204)</f>
        <v>#REF!</v>
      </c>
    </row>
    <row r="206" spans="41:73" ht="24.95" customHeight="1">
      <c r="AO206" s="1034" t="s">
        <v>1721</v>
      </c>
      <c r="BA206" s="749" t="s">
        <v>853</v>
      </c>
      <c r="BB206" s="745" t="str">
        <f>quote_currency_symbol</f>
        <v>$</v>
      </c>
      <c r="BC206" s="750" t="e">
        <f>#REF!</f>
        <v>#REF!</v>
      </c>
      <c r="BG206" s="748" t="s">
        <v>1721</v>
      </c>
      <c r="BS206" s="749" t="s">
        <v>853</v>
      </c>
      <c r="BT206" s="744" t="str">
        <f>quote_currency_symbol</f>
        <v>$</v>
      </c>
      <c r="BU206" s="751" t="e">
        <f>#REF!</f>
        <v>#REF!</v>
      </c>
    </row>
    <row r="207" spans="41:73" ht="24.95" customHeight="1">
      <c r="BA207" s="749" t="s">
        <v>854</v>
      </c>
      <c r="BB207" s="745" t="str">
        <f>quote_currency_symbol</f>
        <v>$</v>
      </c>
      <c r="BC207" s="750" t="e">
        <f>#REF!</f>
        <v>#REF!</v>
      </c>
      <c r="BS207" s="749" t="s">
        <v>854</v>
      </c>
      <c r="BT207" s="744" t="str">
        <f>quote_currency_symbol</f>
        <v>$</v>
      </c>
      <c r="BU207" s="751" t="e">
        <f>#REF!</f>
        <v>#REF!</v>
      </c>
    </row>
    <row r="208" spans="41:73" ht="24.95" customHeight="1">
      <c r="BA208" s="749" t="s">
        <v>1720</v>
      </c>
      <c r="BB208" s="745" t="str">
        <f>quote_currency_symbol</f>
        <v>$</v>
      </c>
      <c r="BC208" s="750" t="e">
        <f>BC205-BC206-BC207</f>
        <v>#REF!</v>
      </c>
      <c r="BS208" s="749" t="s">
        <v>1720</v>
      </c>
      <c r="BT208" s="744" t="str">
        <f>quote_currency_symbol</f>
        <v>$</v>
      </c>
      <c r="BU208" s="751" t="e">
        <f>BU205-BU206-BU207</f>
        <v>#REF!</v>
      </c>
    </row>
  </sheetData>
  <mergeCells count="36">
    <mergeCell ref="BH124:BJ124"/>
    <mergeCell ref="AP123:AR123"/>
    <mergeCell ref="AS123:AT123"/>
    <mergeCell ref="AX123:AY123"/>
    <mergeCell ref="AZ123:BA123"/>
    <mergeCell ref="BB123:BC123"/>
    <mergeCell ref="BH123:BJ123"/>
    <mergeCell ref="AP124:AR124"/>
    <mergeCell ref="AS124:AT124"/>
    <mergeCell ref="AX124:AY124"/>
    <mergeCell ref="AZ124:BA124"/>
    <mergeCell ref="BB124:BC124"/>
    <mergeCell ref="BK124:BL124"/>
    <mergeCell ref="BP124:BQ124"/>
    <mergeCell ref="BR124:BS124"/>
    <mergeCell ref="BT124:BU124"/>
    <mergeCell ref="BK123:BL123"/>
    <mergeCell ref="BP123:BQ123"/>
    <mergeCell ref="BR123:BS123"/>
    <mergeCell ref="BT123:BU123"/>
    <mergeCell ref="BU117:BU119"/>
    <mergeCell ref="AO119:AP119"/>
    <mergeCell ref="BG119:BH119"/>
    <mergeCell ref="AO120:AP120"/>
    <mergeCell ref="BG120:BH120"/>
    <mergeCell ref="BO117:BS118"/>
    <mergeCell ref="BG121:BH121"/>
    <mergeCell ref="C22:E24"/>
    <mergeCell ref="BG115:BK116"/>
    <mergeCell ref="AW116:BA118"/>
    <mergeCell ref="BC116:BC118"/>
    <mergeCell ref="C15:E15"/>
    <mergeCell ref="C17:E17"/>
    <mergeCell ref="C13:E13"/>
    <mergeCell ref="AO121:AP121"/>
    <mergeCell ref="C19:D19"/>
  </mergeCells>
  <dataValidations count="11">
    <dataValidation type="list" allowBlank="1" showInputMessage="1" showErrorMessage="1" sqref="M8:M87" xr:uid="{C426EE18-0966-4C52-97D1-878CC8837658}">
      <formula1>uom_option</formula1>
    </dataValidation>
    <dataValidation type="list" allowBlank="1" showInputMessage="1" showErrorMessage="1" sqref="AN4" xr:uid="{C5125A6E-449E-464B-AC47-F8403C96B86A}">
      <formula1>$AN$2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4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1585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257175</xdr:colOff>
                    <xdr:row>1</xdr:row>
                    <xdr:rowOff>466725</xdr:rowOff>
                  </from>
                  <to>
                    <xdr:col>2</xdr:col>
                    <xdr:colOff>1019175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5" name="Button 11">
              <controlPr defaultSize="0" print="0" autoFill="0" autoPict="0" macro="[0]!goChartAccountDefault">
                <anchor moveWithCells="1" sizeWithCells="1">
                  <from>
                    <xdr:col>4</xdr:col>
                    <xdr:colOff>285750</xdr:colOff>
                    <xdr:row>19</xdr:row>
                    <xdr:rowOff>38100</xdr:rowOff>
                  </from>
                  <to>
                    <xdr:col>4</xdr:col>
                    <xdr:colOff>2000250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" r:id="rId6" name="Button 21">
              <controlPr defaultSize="0" print="0" autoFill="0" autoPict="0" macro="[0]!goToInvAdjData">
                <anchor moveWithCells="1" sizeWithCells="1">
                  <from>
                    <xdr:col>9</xdr:col>
                    <xdr:colOff>0</xdr:colOff>
                    <xdr:row>2</xdr:row>
                    <xdr:rowOff>57150</xdr:rowOff>
                  </from>
                  <to>
                    <xdr:col>10</xdr:col>
                    <xdr:colOff>1200150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" r:id="rId7" name="Button 22">
              <controlPr defaultSize="0" print="0" autoFill="0" autoPict="0" macro="[0]!goToInvAdjDetailData">
                <anchor moveWithCells="1" sizeWithCells="1">
                  <from>
                    <xdr:col>10</xdr:col>
                    <xdr:colOff>1314450</xdr:colOff>
                    <xdr:row>2</xdr:row>
                    <xdr:rowOff>47625</xdr:rowOff>
                  </from>
                  <to>
                    <xdr:col>11</xdr:col>
                    <xdr:colOff>1571625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" r:id="rId8" name="Button 23">
              <controlPr defaultSize="0" print="0" autoFill="0" autoPict="0" macro="[0]!goInventory">
                <anchor moveWithCells="1" sizeWithCells="1">
                  <from>
                    <xdr:col>12</xdr:col>
                    <xdr:colOff>1019175</xdr:colOff>
                    <xdr:row>2</xdr:row>
                    <xdr:rowOff>47625</xdr:rowOff>
                  </from>
                  <to>
                    <xdr:col>13</xdr:col>
                    <xdr:colOff>895350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" r:id="rId9" name="Button 24">
              <controlPr defaultSize="0" print="0" autoFill="0" autoPict="0" macro="[0]!goInventoryTotal">
                <anchor moveWithCells="1" sizeWithCells="1">
                  <from>
                    <xdr:col>13</xdr:col>
                    <xdr:colOff>1066800</xdr:colOff>
                    <xdr:row>2</xdr:row>
                    <xdr:rowOff>19050</xdr:rowOff>
                  </from>
                  <to>
                    <xdr:col>15</xdr:col>
                    <xdr:colOff>314325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" r:id="rId10" name="Button 25">
              <controlPr defaultSize="0" print="0" autoFill="0" autoPict="0" macro="[0]!goInventoryTotalDetail">
                <anchor moveWithCells="1" sizeWithCells="1">
                  <from>
                    <xdr:col>11</xdr:col>
                    <xdr:colOff>1666875</xdr:colOff>
                    <xdr:row>2</xdr:row>
                    <xdr:rowOff>19050</xdr:rowOff>
                  </from>
                  <to>
                    <xdr:col>12</xdr:col>
                    <xdr:colOff>942975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" r:id="rId11" name="Button 29">
              <controlPr defaultSize="0" autoFill="0" autoPict="0" macro="[0]!SaveAdjustStock">
                <anchor moveWithCells="1">
                  <from>
                    <xdr:col>18</xdr:col>
                    <xdr:colOff>676275</xdr:colOff>
                    <xdr:row>1</xdr:row>
                    <xdr:rowOff>438150</xdr:rowOff>
                  </from>
                  <to>
                    <xdr:col>19</xdr:col>
                    <xdr:colOff>1304925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" r:id="rId12" name="Button 50">
              <controlPr defaultSize="0" print="0" autoFill="0" autoPict="0" macro="[0]!checkDatabaseFile">
                <anchor moveWithCells="1" sizeWithCells="1">
                  <from>
                    <xdr:col>15</xdr:col>
                    <xdr:colOff>504825</xdr:colOff>
                    <xdr:row>1</xdr:row>
                    <xdr:rowOff>428625</xdr:rowOff>
                  </from>
                  <to>
                    <xdr:col>16</xdr:col>
                    <xdr:colOff>838200</xdr:colOff>
                    <xdr:row>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4:F27"/>
  <sheetViews>
    <sheetView workbookViewId="0">
      <pane ySplit="7" topLeftCell="A8" activePane="bottomLeft" state="frozen"/>
      <selection pane="bottomLeft" activeCell="E14" sqref="E14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4" spans="3:6" ht="36.75" customHeight="1">
      <c r="C4" s="1620" t="s">
        <v>1071</v>
      </c>
      <c r="D4" s="1620"/>
      <c r="E4" s="1620"/>
    </row>
    <row r="5" spans="3:6" ht="9.75" customHeight="1"/>
    <row r="6" spans="3:6">
      <c r="C6" s="988" t="s">
        <v>59</v>
      </c>
      <c r="D6" s="882" t="s">
        <v>1900</v>
      </c>
      <c r="E6" s="882" t="s">
        <v>100</v>
      </c>
    </row>
    <row r="7" spans="3:6">
      <c r="C7" s="879" t="s">
        <v>11</v>
      </c>
      <c r="D7" s="883" t="s">
        <v>523</v>
      </c>
      <c r="E7" s="883" t="s">
        <v>103</v>
      </c>
    </row>
    <row r="8" spans="3:6">
      <c r="C8" s="13">
        <v>1</v>
      </c>
      <c r="D8" s="129" t="s">
        <v>1896</v>
      </c>
      <c r="F8" s="129" t="str">
        <f>IF(AND(C8&lt;&gt;"",D8&lt;&gt;""),TEXT(C8,"000")&amp;"."&amp;D8,"")</f>
        <v>001.លក់រាយ</v>
      </c>
    </row>
    <row r="9" spans="3:6">
      <c r="C9" s="13">
        <v>2</v>
      </c>
      <c r="D9" s="129" t="s">
        <v>1897</v>
      </c>
      <c r="F9" s="129" t="str">
        <f t="shared" ref="F9:F27" si="0">IF(AND(C9&lt;&gt;"",D9&lt;&gt;""),TEXT(C9,"000")&amp;"."&amp;D9,"")</f>
        <v>002.លក់ដុំ</v>
      </c>
    </row>
    <row r="10" spans="3:6">
      <c r="C10" s="13">
        <v>3</v>
      </c>
      <c r="D10" s="129" t="s">
        <v>1898</v>
      </c>
      <c r="F10" s="129" t="str">
        <f t="shared" si="0"/>
        <v>003.ផ្សារលើ</v>
      </c>
    </row>
    <row r="11" spans="3:6">
      <c r="C11" s="13">
        <v>4</v>
      </c>
      <c r="D11" s="129" t="s">
        <v>1899</v>
      </c>
      <c r="F11" s="129" t="str">
        <f t="shared" si="0"/>
        <v>004.ផ្សារញ៉ែ</v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F18" s="129" t="str">
        <f t="shared" si="0"/>
        <v/>
      </c>
    </row>
    <row r="19" spans="3:6">
      <c r="F19" s="129" t="str">
        <f t="shared" si="0"/>
        <v/>
      </c>
    </row>
    <row r="20" spans="3:6">
      <c r="F20" s="129" t="str">
        <f t="shared" si="0"/>
        <v/>
      </c>
    </row>
    <row r="21" spans="3:6">
      <c r="F21" s="129" t="str">
        <f t="shared" si="0"/>
        <v/>
      </c>
    </row>
    <row r="22" spans="3:6">
      <c r="F22" s="129" t="str">
        <f t="shared" si="0"/>
        <v/>
      </c>
    </row>
    <row r="23" spans="3:6">
      <c r="F23" s="129" t="str">
        <f t="shared" si="0"/>
        <v/>
      </c>
    </row>
    <row r="24" spans="3:6">
      <c r="F24" s="129" t="str">
        <f t="shared" si="0"/>
        <v/>
      </c>
    </row>
    <row r="25" spans="3:6">
      <c r="F25" s="129" t="str">
        <f t="shared" si="0"/>
        <v/>
      </c>
    </row>
    <row r="26" spans="3:6">
      <c r="F26" s="129" t="str">
        <f t="shared" si="0"/>
        <v/>
      </c>
    </row>
    <row r="27" spans="3:6">
      <c r="F27" s="129" t="str">
        <f t="shared" si="0"/>
        <v/>
      </c>
    </row>
  </sheetData>
  <mergeCells count="1">
    <mergeCell ref="C4:E4"/>
  </mergeCells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3009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609600</xdr:colOff>
                    <xdr:row>3</xdr:row>
                    <xdr:rowOff>38100</xdr:rowOff>
                  </from>
                  <to>
                    <xdr:col>2</xdr:col>
                    <xdr:colOff>1085850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2:CA177"/>
  <sheetViews>
    <sheetView showGridLines="0" zoomScale="80" zoomScaleNormal="80" workbookViewId="0">
      <pane ySplit="8" topLeftCell="A33" activePane="bottomLeft" state="frozen"/>
      <selection activeCell="B1" sqref="B1"/>
      <selection pane="bottomLeft" activeCell="N14" sqref="N14"/>
    </sheetView>
  </sheetViews>
  <sheetFormatPr defaultRowHeight="23.25"/>
  <cols>
    <col min="1" max="1" width="3.5703125" customWidth="1"/>
    <col min="2" max="2" width="3.85546875" customWidth="1"/>
    <col min="3" max="3" width="19.85546875" customWidth="1"/>
    <col min="4" max="4" width="22.5703125" style="5" customWidth="1"/>
    <col min="5" max="5" width="2.5703125" style="5" customWidth="1"/>
    <col min="6" max="6" width="31.7109375" style="5" customWidth="1"/>
    <col min="7" max="7" width="15.7109375" style="2" customWidth="1"/>
    <col min="8" max="8" width="9.28515625" customWidth="1"/>
    <col min="9" max="9" width="17.28515625" customWidth="1"/>
    <col min="10" max="10" width="16.42578125" customWidth="1"/>
    <col min="11" max="11" width="19.5703125" customWidth="1"/>
    <col min="12" max="12" width="9.5703125" customWidth="1"/>
    <col min="13" max="13" width="11.28515625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2" spans="2:79" ht="8.25" customHeight="1"/>
    <row r="3" spans="2:79" ht="48.75" customHeight="1">
      <c r="C3" s="1622"/>
      <c r="D3" s="1622"/>
      <c r="E3" s="1622"/>
      <c r="F3" s="1622"/>
      <c r="G3" s="1622"/>
      <c r="H3" s="1622"/>
      <c r="I3" s="1622"/>
      <c r="J3" s="1622"/>
      <c r="K3" s="1622"/>
      <c r="N3" s="146"/>
      <c r="BK3" t="s">
        <v>2345</v>
      </c>
      <c r="BM3" s="1120" t="s">
        <v>153</v>
      </c>
      <c r="BN3" s="1120">
        <v>1</v>
      </c>
      <c r="BO3" s="1120">
        <v>1</v>
      </c>
      <c r="BP3" s="1120">
        <v>6</v>
      </c>
      <c r="BQ3" s="1120" t="s">
        <v>154</v>
      </c>
      <c r="BR3" s="1120">
        <v>2</v>
      </c>
      <c r="BS3" s="1120">
        <v>6</v>
      </c>
      <c r="BT3" s="1120">
        <v>0</v>
      </c>
      <c r="BU3" s="1120">
        <v>0</v>
      </c>
      <c r="BV3" s="1120">
        <v>0</v>
      </c>
      <c r="BW3" s="1120">
        <v>0</v>
      </c>
      <c r="BX3" s="1120">
        <v>1</v>
      </c>
      <c r="BY3" s="1120">
        <v>2</v>
      </c>
      <c r="BZ3" s="1120">
        <v>7</v>
      </c>
      <c r="CA3" s="1121">
        <v>1</v>
      </c>
    </row>
    <row r="4" spans="2:79" ht="36.75">
      <c r="B4" s="1122"/>
      <c r="C4" s="1181" t="s">
        <v>1934</v>
      </c>
      <c r="D4" s="1181"/>
      <c r="E4" s="1181"/>
      <c r="F4" s="1181"/>
      <c r="G4" s="1181"/>
      <c r="H4" s="1181"/>
      <c r="I4" s="1181"/>
      <c r="J4" s="1181"/>
      <c r="K4" s="1181"/>
      <c r="N4" s="1062" t="s">
        <v>2448</v>
      </c>
      <c r="O4" s="1189" t="s">
        <v>2346</v>
      </c>
      <c r="Q4" s="68" t="s">
        <v>2450</v>
      </c>
      <c r="R4" s="1621">
        <v>2</v>
      </c>
      <c r="S4" s="1621"/>
    </row>
    <row r="5" spans="2:79" s="5" customFormat="1" ht="27.75" customHeight="1">
      <c r="B5" s="1123"/>
      <c r="C5" s="1029" t="s">
        <v>1935</v>
      </c>
      <c r="D5" s="1124"/>
      <c r="E5" s="1124"/>
      <c r="F5" s="1124"/>
      <c r="G5" s="1124"/>
      <c r="H5" s="1124"/>
      <c r="I5" s="1124"/>
      <c r="J5" s="1124"/>
      <c r="K5" s="1124"/>
      <c r="N5" s="1062" t="s">
        <v>2420</v>
      </c>
      <c r="O5" s="1183" t="s">
        <v>2396</v>
      </c>
      <c r="P5"/>
      <c r="Q5" s="68" t="s">
        <v>2451</v>
      </c>
      <c r="R5" s="1192">
        <v>90</v>
      </c>
      <c r="S5" s="1191" t="str">
        <f>IF(print_inv_payment_net_days&gt;=1,"days","day")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1123"/>
      <c r="C6" s="269" t="str">
        <f>N5&amp;print_inv_branch_address_kh</f>
        <v>អាសយដ្ឋាន ៖ ភូមិគោកស្នួល ឃុំខ្នាត ស្រុកពួក ខេត្តសៀមរាប</v>
      </c>
      <c r="D6" s="1124"/>
      <c r="E6" s="1124"/>
      <c r="F6" s="1124"/>
      <c r="G6" s="1124"/>
      <c r="H6" s="1124"/>
      <c r="I6" s="1124"/>
      <c r="J6" s="1124"/>
      <c r="K6" s="1124"/>
      <c r="M6" s="221"/>
      <c r="N6" s="1062" t="s">
        <v>2422</v>
      </c>
      <c r="O6" s="1194" t="s">
        <v>142</v>
      </c>
      <c r="P6" s="204"/>
      <c r="Q6" s="1193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1123"/>
      <c r="C7" s="269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1124"/>
      <c r="E7" s="1124"/>
      <c r="F7" s="1124"/>
      <c r="G7" s="1124"/>
      <c r="H7" s="1124"/>
      <c r="I7" s="1124"/>
      <c r="J7" s="1124"/>
      <c r="K7" s="1124"/>
      <c r="N7" s="1062" t="s">
        <v>2423</v>
      </c>
      <c r="O7" s="1183" t="s">
        <v>2397</v>
      </c>
      <c r="P7" s="204"/>
      <c r="Q7" s="1193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1122"/>
      <c r="C8" s="1182" t="s">
        <v>2421</v>
      </c>
      <c r="D8" s="1154"/>
      <c r="E8" s="1154"/>
      <c r="F8" s="1154"/>
      <c r="G8" s="1154"/>
      <c r="H8" s="1154"/>
      <c r="I8" s="1154"/>
      <c r="J8" s="1154"/>
      <c r="K8" s="1155"/>
      <c r="N8" s="260" t="s">
        <v>2449</v>
      </c>
      <c r="O8" s="1183" t="s">
        <v>1940</v>
      </c>
      <c r="P8" s="204"/>
      <c r="Q8" s="1193"/>
      <c r="R8" s="204"/>
      <c r="S8" s="204"/>
      <c r="T8" s="204"/>
      <c r="U8" s="204"/>
      <c r="V8" s="204"/>
      <c r="W8" s="204"/>
    </row>
    <row r="9" spans="2:79" ht="3.75" customHeight="1">
      <c r="B9" s="1125"/>
      <c r="G9" s="45"/>
      <c r="J9" s="1126"/>
      <c r="K9" s="1126"/>
      <c r="N9" s="401"/>
      <c r="O9" s="260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1125"/>
      <c r="D10"/>
      <c r="E10"/>
      <c r="F10"/>
      <c r="G10" s="1632"/>
      <c r="H10" s="1632"/>
      <c r="I10" s="166"/>
      <c r="J10" s="166"/>
      <c r="K10" s="166"/>
      <c r="N10" s="401"/>
      <c r="O10" s="260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1125"/>
      <c r="C11" s="1623"/>
      <c r="D11" s="1623"/>
      <c r="E11" s="1118"/>
      <c r="G11" s="1632"/>
      <c r="H11" s="1632"/>
      <c r="I11"/>
      <c r="M11" s="81"/>
      <c r="N11" s="401"/>
      <c r="O11" s="260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1125"/>
      <c r="C12" s="1166" t="s">
        <v>2379</v>
      </c>
      <c r="D12" s="3"/>
      <c r="E12" s="3"/>
      <c r="G12" s="1632"/>
      <c r="H12" s="1632"/>
      <c r="I12" s="1266"/>
      <c r="J12" s="1267" t="s">
        <v>2410</v>
      </c>
      <c r="K12" s="1268" t="s">
        <v>2702</v>
      </c>
      <c r="L12" s="150" t="str">
        <f ca="1">MID(MID(CELL("filename",B1),FIND("]",CELL("filename",B1))+1,255),1,40)</f>
        <v>PrintInvoice</v>
      </c>
      <c r="M12" s="3"/>
      <c r="N12" s="401"/>
      <c r="O12" s="260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1125"/>
      <c r="C13" s="1633"/>
      <c r="D13" s="1634"/>
      <c r="E13" s="1634"/>
      <c r="F13" s="1635"/>
      <c r="G13" s="1632"/>
      <c r="H13" s="1632"/>
      <c r="I13" s="1269"/>
      <c r="J13" s="1238" t="s">
        <v>2411</v>
      </c>
      <c r="K13" s="1270">
        <v>46182</v>
      </c>
      <c r="L13" s="150"/>
      <c r="M13" s="3"/>
      <c r="N13" s="401"/>
      <c r="O13" s="260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1125"/>
      <c r="C14" s="1636"/>
      <c r="D14" s="1637"/>
      <c r="E14" s="1637"/>
      <c r="F14" s="1638"/>
      <c r="G14" s="1632"/>
      <c r="H14" s="1632"/>
      <c r="I14" s="1271"/>
      <c r="J14" s="1272" t="s">
        <v>2412</v>
      </c>
      <c r="K14" s="1273">
        <v>46272</v>
      </c>
      <c r="M14"/>
      <c r="N14" s="401"/>
      <c r="O14" s="260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5"/>
      <c r="C15" s="5"/>
      <c r="G15" s="5"/>
      <c r="H15" s="5"/>
      <c r="I15" s="5"/>
      <c r="J15" s="5"/>
      <c r="K15" s="5"/>
      <c r="L15" s="5"/>
      <c r="M15" s="5"/>
      <c r="N15" s="401"/>
      <c r="O15" s="260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58">
        <v>-9</v>
      </c>
      <c r="C16" s="1239" t="s">
        <v>2415</v>
      </c>
      <c r="D16" s="1240"/>
      <c r="E16" s="1240"/>
      <c r="F16" s="1241"/>
      <c r="G16" s="1241"/>
      <c r="H16" s="1242"/>
      <c r="I16" s="1243"/>
      <c r="J16" s="1244"/>
      <c r="K16" s="1245"/>
      <c r="L16" s="58"/>
      <c r="N16" s="401"/>
      <c r="O16" s="260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58"/>
      <c r="C17" s="1246" t="s">
        <v>2406</v>
      </c>
      <c r="D17" s="1127"/>
      <c r="E17" s="1247" t="s">
        <v>120</v>
      </c>
      <c r="F17" s="1248" t="s">
        <v>1923</v>
      </c>
      <c r="G17" s="1249"/>
      <c r="H17" s="1249"/>
      <c r="I17" s="1250"/>
      <c r="J17" s="1251"/>
      <c r="K17" s="1252"/>
      <c r="L17" s="58"/>
      <c r="M17" s="37"/>
      <c r="N17" s="401"/>
      <c r="O17" s="260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1162"/>
      <c r="C18" s="1253" t="s">
        <v>2407</v>
      </c>
      <c r="D18" s="1238"/>
      <c r="E18" s="1247"/>
      <c r="F18" s="1184" t="s">
        <v>1925</v>
      </c>
      <c r="G18" s="1185"/>
      <c r="H18" s="1185"/>
      <c r="I18" s="1185"/>
      <c r="J18" s="1185"/>
      <c r="K18" s="1254"/>
      <c r="L18" s="1163"/>
      <c r="M18" s="1164"/>
      <c r="N18" s="401"/>
      <c r="O18" s="260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58"/>
      <c r="C19" s="1246" t="s">
        <v>2413</v>
      </c>
      <c r="D19" s="1127"/>
      <c r="E19" s="1247" t="s">
        <v>120</v>
      </c>
      <c r="F19" s="1186" t="s">
        <v>2431</v>
      </c>
      <c r="G19" s="1187"/>
      <c r="H19" s="1187"/>
      <c r="I19" s="1187"/>
      <c r="J19" s="1187"/>
      <c r="K19" s="1255"/>
      <c r="L19" s="58"/>
      <c r="N19" s="401"/>
      <c r="O19" s="260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58"/>
      <c r="C20" s="1256" t="s">
        <v>2408</v>
      </c>
      <c r="D20" s="1127"/>
      <c r="E20" s="1247" t="s">
        <v>120</v>
      </c>
      <c r="F20" s="255">
        <v>12334455</v>
      </c>
      <c r="G20" s="353"/>
      <c r="H20" s="353"/>
      <c r="I20" s="353"/>
      <c r="J20" s="353"/>
      <c r="K20" s="1257"/>
      <c r="L20" s="58"/>
      <c r="M20" s="58"/>
      <c r="N20" s="401"/>
      <c r="O20" s="260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5"/>
      <c r="C21" s="1253" t="s">
        <v>2409</v>
      </c>
      <c r="D21" s="1258"/>
      <c r="E21" s="1247"/>
      <c r="F21" s="1165" t="s">
        <v>1928</v>
      </c>
      <c r="G21" s="1184"/>
      <c r="H21" s="1184"/>
      <c r="I21" s="1184"/>
      <c r="J21" s="1184"/>
      <c r="K21" s="1259"/>
      <c r="L21" s="5"/>
      <c r="M21" s="5"/>
      <c r="N21" s="401"/>
      <c r="O21" s="260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5"/>
      <c r="C22" s="1260" t="s">
        <v>2414</v>
      </c>
      <c r="D22" s="1261"/>
      <c r="E22" s="1262" t="s">
        <v>120</v>
      </c>
      <c r="F22" s="1639" t="str">
        <f>IF(print_inv_customer_tin_number="","",print_inv_customer_tin_number)</f>
        <v>TIN987-123456791</v>
      </c>
      <c r="G22" s="1639"/>
      <c r="H22" s="1639"/>
      <c r="I22" s="1639"/>
      <c r="J22" s="1639"/>
      <c r="K22" s="1640"/>
      <c r="L22" s="5"/>
      <c r="M22" s="5"/>
      <c r="N22" s="401"/>
      <c r="O22" s="260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5"/>
      <c r="C23" s="1129"/>
      <c r="D23" s="1129"/>
      <c r="E23" s="1129"/>
      <c r="F23" s="1628"/>
      <c r="G23" s="1628"/>
      <c r="H23" s="1628"/>
      <c r="I23" s="1127"/>
      <c r="J23" s="1127"/>
      <c r="K23" s="1128"/>
      <c r="L23" s="5"/>
    </row>
    <row r="24" spans="1:28" s="4" customFormat="1" ht="12" hidden="1" customHeight="1">
      <c r="B24"/>
      <c r="D24" s="64"/>
      <c r="E24" s="64"/>
      <c r="F24" s="65"/>
      <c r="G24" s="66"/>
      <c r="H24" s="301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1130" customFormat="1" ht="27">
      <c r="C25" s="1152" t="s">
        <v>204</v>
      </c>
      <c r="D25" s="1629" t="s">
        <v>2405</v>
      </c>
      <c r="E25" s="1630"/>
      <c r="F25" s="1631"/>
      <c r="G25" s="1152" t="s">
        <v>179</v>
      </c>
      <c r="H25" s="1152" t="s">
        <v>180</v>
      </c>
      <c r="I25" s="1152" t="s">
        <v>127</v>
      </c>
      <c r="J25" s="1152" t="s">
        <v>117</v>
      </c>
      <c r="K25" s="1152" t="s">
        <v>117</v>
      </c>
      <c r="M25" s="1131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1132" customFormat="1" ht="15.75">
      <c r="C26" s="1153" t="s">
        <v>2380</v>
      </c>
      <c r="D26" s="1625" t="s">
        <v>2404</v>
      </c>
      <c r="E26" s="1626"/>
      <c r="F26" s="1627"/>
      <c r="G26" s="1153" t="s">
        <v>21</v>
      </c>
      <c r="H26" s="1153" t="s">
        <v>93</v>
      </c>
      <c r="I26" s="1153" t="s">
        <v>2419</v>
      </c>
      <c r="J26" s="1153" t="s">
        <v>2428</v>
      </c>
      <c r="K26" s="1153" t="s">
        <v>2429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1132" customFormat="1" ht="30" customHeight="1">
      <c r="A27" s="1235">
        <v>1</v>
      </c>
      <c r="C27" s="1172" t="s">
        <v>2604</v>
      </c>
      <c r="D27" s="1167" t="s">
        <v>2608</v>
      </c>
      <c r="E27" s="1168"/>
      <c r="F27" s="1169"/>
      <c r="G27" s="1195" t="s">
        <v>2336</v>
      </c>
      <c r="H27" s="1170">
        <v>10</v>
      </c>
      <c r="I27" s="1177">
        <v>20</v>
      </c>
      <c r="J27" s="1177">
        <v>200</v>
      </c>
      <c r="K27" s="1178">
        <v>800200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1132" customFormat="1" ht="30" customHeight="1">
      <c r="A28" s="1235">
        <v>2</v>
      </c>
      <c r="C28" s="1172"/>
      <c r="D28" s="1167"/>
      <c r="E28" s="1168"/>
      <c r="F28" s="1169"/>
      <c r="G28" s="1195"/>
      <c r="H28" s="1170"/>
      <c r="I28" s="1177"/>
      <c r="J28" s="1177"/>
      <c r="K28" s="117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1132" customFormat="1" ht="30" customHeight="1">
      <c r="A29" s="1235">
        <v>3</v>
      </c>
      <c r="C29" s="1172"/>
      <c r="D29" s="1167"/>
      <c r="E29" s="1168"/>
      <c r="F29" s="1169"/>
      <c r="G29" s="1195"/>
      <c r="H29" s="1170"/>
      <c r="I29" s="1177"/>
      <c r="J29" s="1177"/>
      <c r="K29" s="1178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1132" customFormat="1" ht="30" customHeight="1">
      <c r="A30" s="1235">
        <v>4</v>
      </c>
      <c r="C30" s="1172"/>
      <c r="D30" s="1167"/>
      <c r="E30" s="1168"/>
      <c r="F30" s="1169"/>
      <c r="G30" s="1195"/>
      <c r="H30" s="1170"/>
      <c r="I30" s="1177"/>
      <c r="J30" s="1177"/>
      <c r="K30" s="1178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1132" customFormat="1" ht="30" customHeight="1">
      <c r="A31" s="1235">
        <v>5</v>
      </c>
      <c r="C31" s="1172"/>
      <c r="D31" s="1167"/>
      <c r="E31" s="1168"/>
      <c r="F31" s="1169"/>
      <c r="G31" s="1195"/>
      <c r="H31" s="1170"/>
      <c r="I31" s="1177"/>
      <c r="J31" s="1177"/>
      <c r="K31" s="1178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1132" customFormat="1" ht="30" customHeight="1">
      <c r="A32" s="1235">
        <v>6</v>
      </c>
      <c r="C32" s="1172"/>
      <c r="D32" s="1167"/>
      <c r="E32" s="1168"/>
      <c r="F32" s="1169"/>
      <c r="G32" s="1195"/>
      <c r="H32" s="1170"/>
      <c r="I32" s="1177"/>
      <c r="J32" s="1177"/>
      <c r="K32" s="1178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1132" customFormat="1" ht="30" customHeight="1">
      <c r="A33" s="1235">
        <v>7</v>
      </c>
      <c r="C33" s="1172"/>
      <c r="D33" s="1167"/>
      <c r="E33" s="1168"/>
      <c r="F33" s="1169"/>
      <c r="G33" s="1195"/>
      <c r="H33" s="1170"/>
      <c r="I33" s="1177"/>
      <c r="J33" s="1177"/>
      <c r="K33" s="1178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1132" customFormat="1" ht="30" customHeight="1">
      <c r="A34" s="1235">
        <v>8</v>
      </c>
      <c r="C34" s="1172"/>
      <c r="D34" s="1167"/>
      <c r="E34" s="1168"/>
      <c r="F34" s="1169"/>
      <c r="G34" s="1195"/>
      <c r="H34" s="1170"/>
      <c r="I34" s="1177"/>
      <c r="J34" s="1177"/>
      <c r="K34" s="1178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1132" customFormat="1" ht="30" customHeight="1">
      <c r="A35" s="1235">
        <v>9</v>
      </c>
      <c r="C35" s="1172"/>
      <c r="D35" s="1167"/>
      <c r="E35" s="1168"/>
      <c r="F35" s="1169"/>
      <c r="G35" s="1195"/>
      <c r="H35" s="1170"/>
      <c r="I35" s="1177"/>
      <c r="J35" s="1177"/>
      <c r="K35" s="1178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1132" customFormat="1" ht="30" customHeight="1">
      <c r="A36" s="1235">
        <v>10</v>
      </c>
      <c r="C36" s="1172"/>
      <c r="D36" s="1167"/>
      <c r="E36" s="1168"/>
      <c r="F36" s="1169"/>
      <c r="G36" s="1195"/>
      <c r="H36" s="1170"/>
      <c r="I36" s="1177"/>
      <c r="J36" s="1177"/>
      <c r="K36" s="1178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1132" customFormat="1" ht="30" customHeight="1">
      <c r="A37" s="1235">
        <v>11</v>
      </c>
      <c r="C37" s="1172"/>
      <c r="D37" s="1167"/>
      <c r="E37" s="1168"/>
      <c r="F37" s="1169"/>
      <c r="G37" s="1195"/>
      <c r="H37" s="1170"/>
      <c r="I37" s="1177"/>
      <c r="J37" s="1177"/>
      <c r="K37" s="117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1132" customFormat="1" ht="30" customHeight="1">
      <c r="A38" s="1235">
        <v>12</v>
      </c>
      <c r="C38" s="1172"/>
      <c r="D38" s="1167"/>
      <c r="E38" s="1168"/>
      <c r="F38" s="1169"/>
      <c r="G38" s="1195"/>
      <c r="H38" s="1170"/>
      <c r="I38" s="1177"/>
      <c r="J38" s="1177"/>
      <c r="K38" s="117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1132" customFormat="1" ht="30" customHeight="1">
      <c r="A39" s="1235">
        <v>13</v>
      </c>
      <c r="C39" s="1172"/>
      <c r="D39" s="1167"/>
      <c r="E39" s="1168"/>
      <c r="F39" s="1169"/>
      <c r="G39" s="1195"/>
      <c r="H39" s="1170"/>
      <c r="I39" s="1177"/>
      <c r="J39" s="1177"/>
      <c r="K39" s="117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1132" customFormat="1" ht="30" customHeight="1">
      <c r="A40" s="1235">
        <v>14</v>
      </c>
      <c r="C40" s="1172"/>
      <c r="D40" s="1167"/>
      <c r="E40" s="1168"/>
      <c r="F40" s="1169"/>
      <c r="G40" s="1195"/>
      <c r="H40" s="1170"/>
      <c r="I40" s="1177"/>
      <c r="J40" s="1177"/>
      <c r="K40" s="117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132" customFormat="1" ht="30" customHeight="1">
      <c r="A41" s="1235">
        <v>15</v>
      </c>
      <c r="C41" s="1172"/>
      <c r="D41" s="1167"/>
      <c r="E41" s="1168"/>
      <c r="F41" s="1169"/>
      <c r="G41" s="1195"/>
      <c r="H41" s="1170"/>
      <c r="I41" s="1177"/>
      <c r="J41" s="1177"/>
      <c r="K41" s="117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132" customFormat="1" ht="30" customHeight="1">
      <c r="A42" s="1235">
        <v>16</v>
      </c>
      <c r="C42" s="1172"/>
      <c r="D42" s="1167"/>
      <c r="E42" s="1168"/>
      <c r="F42" s="1169"/>
      <c r="G42" s="1195"/>
      <c r="H42" s="1170"/>
      <c r="I42" s="1177"/>
      <c r="J42" s="1177"/>
      <c r="K42" s="117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132" customFormat="1" ht="30" customHeight="1">
      <c r="A43" s="1235">
        <v>17</v>
      </c>
      <c r="C43" s="1172"/>
      <c r="D43" s="1167"/>
      <c r="E43" s="1168"/>
      <c r="F43" s="1169"/>
      <c r="G43" s="1195"/>
      <c r="H43" s="1170"/>
      <c r="I43" s="1177"/>
      <c r="J43" s="1177"/>
      <c r="K43" s="117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132" customFormat="1" ht="30" customHeight="1">
      <c r="A44" s="1235">
        <v>18</v>
      </c>
      <c r="C44" s="1172"/>
      <c r="D44" s="1167"/>
      <c r="E44" s="1168"/>
      <c r="F44" s="1169"/>
      <c r="G44" s="1195"/>
      <c r="H44" s="1170"/>
      <c r="I44" s="1177"/>
      <c r="J44" s="1177"/>
      <c r="K44" s="117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132" customFormat="1" ht="30" customHeight="1">
      <c r="A45" s="1235">
        <v>19</v>
      </c>
      <c r="C45" s="1172"/>
      <c r="D45" s="1167"/>
      <c r="E45" s="1168"/>
      <c r="F45" s="1169"/>
      <c r="G45" s="1195"/>
      <c r="H45" s="1170"/>
      <c r="I45" s="1177"/>
      <c r="J45" s="1177"/>
      <c r="K45" s="117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132" customFormat="1" ht="30" customHeight="1">
      <c r="A46" s="1235">
        <v>20</v>
      </c>
      <c r="C46" s="1172"/>
      <c r="D46" s="1167"/>
      <c r="E46" s="1168"/>
      <c r="F46" s="1169"/>
      <c r="G46" s="1195"/>
      <c r="H46" s="1170"/>
      <c r="I46" s="1177"/>
      <c r="J46" s="1177"/>
      <c r="K46" s="117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132" customFormat="1" ht="30" customHeight="1">
      <c r="A47" s="1235">
        <v>21</v>
      </c>
      <c r="C47" s="1172"/>
      <c r="D47" s="1167"/>
      <c r="E47" s="1168"/>
      <c r="F47" s="1169"/>
      <c r="G47" s="1195"/>
      <c r="H47" s="1170"/>
      <c r="I47" s="1177"/>
      <c r="J47" s="1177"/>
      <c r="K47" s="117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132" customFormat="1" ht="30" customHeight="1">
      <c r="A48" s="1235">
        <v>22</v>
      </c>
      <c r="C48" s="1172"/>
      <c r="D48" s="1167"/>
      <c r="E48" s="1168"/>
      <c r="F48" s="1169"/>
      <c r="G48" s="1195"/>
      <c r="H48" s="1170"/>
      <c r="I48" s="1177"/>
      <c r="J48" s="1177"/>
      <c r="K48" s="117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132" customFormat="1" ht="30" customHeight="1">
      <c r="A49" s="1235">
        <v>23</v>
      </c>
      <c r="C49" s="1172"/>
      <c r="D49" s="1167"/>
      <c r="E49" s="1168"/>
      <c r="F49" s="1169"/>
      <c r="G49" s="1195"/>
      <c r="H49" s="1170"/>
      <c r="I49" s="1177"/>
      <c r="J49" s="1177"/>
      <c r="K49" s="117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132" customFormat="1" ht="30" customHeight="1">
      <c r="A50" s="1235">
        <v>24</v>
      </c>
      <c r="C50" s="1172"/>
      <c r="D50" s="1167"/>
      <c r="E50" s="1168"/>
      <c r="F50" s="1169"/>
      <c r="G50" s="1195"/>
      <c r="H50" s="1170"/>
      <c r="I50" s="1177"/>
      <c r="J50" s="1177"/>
      <c r="K50" s="117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132" customFormat="1" ht="30" customHeight="1">
      <c r="A51" s="1235">
        <v>25</v>
      </c>
      <c r="C51" s="1172"/>
      <c r="D51" s="1167"/>
      <c r="E51" s="1168"/>
      <c r="F51" s="1169"/>
      <c r="G51" s="1195"/>
      <c r="H51" s="1170"/>
      <c r="I51" s="1177"/>
      <c r="J51" s="1177"/>
      <c r="K51" s="117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132" customFormat="1" ht="30" customHeight="1">
      <c r="A52" s="1235">
        <v>26</v>
      </c>
      <c r="C52" s="1172"/>
      <c r="D52" s="1167"/>
      <c r="E52" s="1168"/>
      <c r="F52" s="1169"/>
      <c r="G52" s="1195"/>
      <c r="H52" s="1170"/>
      <c r="I52" s="1177"/>
      <c r="J52" s="1177"/>
      <c r="K52" s="117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132" customFormat="1" ht="30" customHeight="1">
      <c r="A53" s="1235">
        <v>27</v>
      </c>
      <c r="C53" s="1172"/>
      <c r="D53" s="1167"/>
      <c r="E53" s="1168"/>
      <c r="F53" s="1169"/>
      <c r="G53" s="1195"/>
      <c r="H53" s="1170"/>
      <c r="I53" s="1177"/>
      <c r="J53" s="1177"/>
      <c r="K53" s="117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132" customFormat="1" ht="30" customHeight="1">
      <c r="A54" s="1235">
        <v>28</v>
      </c>
      <c r="C54" s="1172"/>
      <c r="D54" s="1167"/>
      <c r="E54" s="1168"/>
      <c r="F54" s="1169"/>
      <c r="G54" s="1195"/>
      <c r="H54" s="1170"/>
      <c r="I54" s="1177"/>
      <c r="J54" s="1177"/>
      <c r="K54" s="117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132" customFormat="1" ht="30" hidden="1" customHeight="1">
      <c r="C55" s="1172"/>
      <c r="D55" s="1167"/>
      <c r="E55" s="1168"/>
      <c r="F55" s="1169"/>
      <c r="G55" s="1195"/>
      <c r="H55" s="1170"/>
      <c r="I55" s="1177"/>
      <c r="J55" s="1177"/>
      <c r="K55" s="117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132" customFormat="1" ht="30" hidden="1" customHeight="1">
      <c r="C56" s="1172"/>
      <c r="D56" s="1167"/>
      <c r="E56" s="1168"/>
      <c r="F56" s="1169"/>
      <c r="G56" s="1195"/>
      <c r="H56" s="1170"/>
      <c r="I56" s="1177"/>
      <c r="J56" s="1177"/>
      <c r="K56" s="117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132" customFormat="1" ht="30" hidden="1" customHeight="1">
      <c r="C57" s="1172"/>
      <c r="D57" s="1167"/>
      <c r="E57" s="1168"/>
      <c r="F57" s="1169"/>
      <c r="G57" s="1195"/>
      <c r="H57" s="1170"/>
      <c r="I57" s="1177"/>
      <c r="J57" s="1177"/>
      <c r="K57" s="117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132" customFormat="1" ht="30" hidden="1" customHeight="1">
      <c r="C58" s="1172"/>
      <c r="D58" s="1167"/>
      <c r="E58" s="1168"/>
      <c r="F58" s="1169"/>
      <c r="G58" s="1195"/>
      <c r="H58" s="1170"/>
      <c r="I58" s="1177"/>
      <c r="J58" s="1177"/>
      <c r="K58" s="117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132" customFormat="1" ht="30" hidden="1" customHeight="1">
      <c r="C59" s="1172"/>
      <c r="D59" s="1167"/>
      <c r="E59" s="1168"/>
      <c r="F59" s="1169"/>
      <c r="G59" s="1195"/>
      <c r="H59" s="1170"/>
      <c r="I59" s="1177"/>
      <c r="J59" s="1177"/>
      <c r="K59" s="117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1132" customFormat="1" ht="30" hidden="1" customHeight="1">
      <c r="C60" s="1172"/>
      <c r="D60" s="1167"/>
      <c r="E60" s="1168"/>
      <c r="F60" s="1169"/>
      <c r="G60" s="1195"/>
      <c r="H60" s="1170"/>
      <c r="I60" s="1177"/>
      <c r="J60" s="1177"/>
      <c r="K60" s="117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1132" customFormat="1" ht="30" hidden="1" customHeight="1">
      <c r="C61" s="1172"/>
      <c r="D61" s="1167"/>
      <c r="E61" s="1168"/>
      <c r="F61" s="1169"/>
      <c r="G61" s="1195"/>
      <c r="H61" s="1170"/>
      <c r="I61" s="1177"/>
      <c r="J61" s="1177"/>
      <c r="K61" s="117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1132" customFormat="1" ht="30" hidden="1" customHeight="1">
      <c r="C62" s="1172"/>
      <c r="D62" s="1167"/>
      <c r="E62" s="1168"/>
      <c r="F62" s="1169"/>
      <c r="G62" s="1195"/>
      <c r="H62" s="1170"/>
      <c r="I62" s="1177"/>
      <c r="J62" s="1177"/>
      <c r="K62" s="117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1132" customFormat="1" ht="30" hidden="1" customHeight="1">
      <c r="C63" s="1172"/>
      <c r="D63" s="1167"/>
      <c r="E63" s="1168"/>
      <c r="F63" s="1169"/>
      <c r="G63" s="1195"/>
      <c r="H63" s="1170"/>
      <c r="I63" s="1177"/>
      <c r="J63" s="1177"/>
      <c r="K63" s="117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1132" customFormat="1" ht="30" hidden="1" customHeight="1">
      <c r="C64" s="1172"/>
      <c r="D64" s="1167"/>
      <c r="E64" s="1168"/>
      <c r="F64" s="1169"/>
      <c r="G64" s="1195"/>
      <c r="H64" s="1170"/>
      <c r="I64" s="1177"/>
      <c r="J64" s="1177"/>
      <c r="K64" s="117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3:28" s="1132" customFormat="1" ht="30" hidden="1" customHeight="1">
      <c r="C65" s="1172"/>
      <c r="D65" s="1167"/>
      <c r="E65" s="1168"/>
      <c r="F65" s="1169"/>
      <c r="G65" s="1195"/>
      <c r="H65" s="1170"/>
      <c r="I65" s="1177"/>
      <c r="J65" s="1177"/>
      <c r="K65" s="117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3:28" s="1132" customFormat="1" ht="30" hidden="1" customHeight="1">
      <c r="C66" s="1172"/>
      <c r="D66" s="1167"/>
      <c r="E66" s="1168"/>
      <c r="F66" s="1169"/>
      <c r="G66" s="1195"/>
      <c r="H66" s="1170"/>
      <c r="I66" s="1177"/>
      <c r="J66" s="1177"/>
      <c r="K66" s="117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3:28" s="1132" customFormat="1" ht="30" hidden="1" customHeight="1">
      <c r="C67" s="1172"/>
      <c r="D67" s="1167"/>
      <c r="E67" s="1168"/>
      <c r="F67" s="1169"/>
      <c r="G67" s="1195"/>
      <c r="H67" s="1170"/>
      <c r="I67" s="1177"/>
      <c r="J67" s="1177"/>
      <c r="K67" s="117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3:28" s="1132" customFormat="1" ht="30" hidden="1" customHeight="1">
      <c r="C68" s="1172"/>
      <c r="D68" s="1167"/>
      <c r="E68" s="1168"/>
      <c r="F68" s="1169"/>
      <c r="G68" s="1195"/>
      <c r="H68" s="1170"/>
      <c r="I68" s="1177"/>
      <c r="J68" s="1177"/>
      <c r="K68" s="117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3:28" s="1132" customFormat="1" ht="30" hidden="1" customHeight="1">
      <c r="C69" s="1172"/>
      <c r="D69" s="1167"/>
      <c r="E69" s="1168"/>
      <c r="F69" s="1169"/>
      <c r="G69" s="1195"/>
      <c r="H69" s="1170"/>
      <c r="I69" s="1177"/>
      <c r="J69" s="1177"/>
      <c r="K69" s="117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3:28" s="1132" customFormat="1" ht="30" hidden="1" customHeight="1">
      <c r="C70" s="1172"/>
      <c r="D70" s="1167"/>
      <c r="E70" s="1168"/>
      <c r="F70" s="1169"/>
      <c r="G70" s="1195"/>
      <c r="H70" s="1170"/>
      <c r="I70" s="1177"/>
      <c r="J70" s="1177"/>
      <c r="K70" s="117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3:28" s="1132" customFormat="1" ht="30" hidden="1" customHeight="1">
      <c r="C71" s="1172"/>
      <c r="D71" s="1167"/>
      <c r="E71" s="1168"/>
      <c r="F71" s="1169"/>
      <c r="G71" s="1195"/>
      <c r="H71" s="1170"/>
      <c r="I71" s="1177"/>
      <c r="J71" s="1177"/>
      <c r="K71" s="117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3:28" s="1132" customFormat="1" ht="30" hidden="1" customHeight="1">
      <c r="C72" s="1172"/>
      <c r="D72" s="1167"/>
      <c r="E72" s="1168"/>
      <c r="F72" s="1169"/>
      <c r="G72" s="1195"/>
      <c r="H72" s="1170"/>
      <c r="I72" s="1177"/>
      <c r="J72" s="1177"/>
      <c r="K72" s="117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3:28" s="1132" customFormat="1" ht="30" hidden="1" customHeight="1">
      <c r="C73" s="1172"/>
      <c r="D73" s="1167"/>
      <c r="E73" s="1168"/>
      <c r="F73" s="1169"/>
      <c r="G73" s="1195"/>
      <c r="H73" s="1170"/>
      <c r="I73" s="1177"/>
      <c r="J73" s="1177"/>
      <c r="K73" s="117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3:28" s="1132" customFormat="1" ht="30" hidden="1" customHeight="1">
      <c r="C74" s="1172"/>
      <c r="D74" s="1167"/>
      <c r="E74" s="1168"/>
      <c r="F74" s="1169"/>
      <c r="G74" s="1195"/>
      <c r="H74" s="1170"/>
      <c r="I74" s="1177"/>
      <c r="J74" s="1177"/>
      <c r="K74" s="117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3:28" s="1132" customFormat="1" ht="30" hidden="1" customHeight="1">
      <c r="C75" s="1172"/>
      <c r="D75" s="1167"/>
      <c r="E75" s="1168"/>
      <c r="F75" s="1169"/>
      <c r="G75" s="1195"/>
      <c r="H75" s="1170"/>
      <c r="I75" s="1177"/>
      <c r="J75" s="1177"/>
      <c r="K75" s="117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3:28" s="1132" customFormat="1" ht="30" hidden="1" customHeight="1">
      <c r="C76" s="1172"/>
      <c r="D76" s="1167"/>
      <c r="E76" s="1168"/>
      <c r="F76" s="1169"/>
      <c r="G76" s="1195"/>
      <c r="H76" s="1170"/>
      <c r="I76" s="1177"/>
      <c r="J76" s="1177"/>
      <c r="K76" s="117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3:28" s="1132" customFormat="1" ht="30" hidden="1" customHeight="1">
      <c r="C77" s="1172"/>
      <c r="D77" s="1167"/>
      <c r="E77" s="1168"/>
      <c r="F77" s="1169"/>
      <c r="G77" s="1195"/>
      <c r="H77" s="1170"/>
      <c r="I77" s="1177"/>
      <c r="J77" s="1177"/>
      <c r="K77" s="117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3:28" s="1132" customFormat="1" ht="30" hidden="1" customHeight="1">
      <c r="C78" s="1172"/>
      <c r="D78" s="1167"/>
      <c r="E78" s="1168"/>
      <c r="F78" s="1169"/>
      <c r="G78" s="1195"/>
      <c r="H78" s="1170"/>
      <c r="I78" s="1177"/>
      <c r="J78" s="1177"/>
      <c r="K78" s="11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3:28" s="1132" customFormat="1" ht="30" hidden="1" customHeight="1">
      <c r="C79" s="1172"/>
      <c r="D79" s="1167"/>
      <c r="E79" s="1168"/>
      <c r="F79" s="1169"/>
      <c r="G79" s="1195"/>
      <c r="H79" s="1170"/>
      <c r="I79" s="1177"/>
      <c r="J79" s="1177"/>
      <c r="K79" s="117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3:28" s="1132" customFormat="1" ht="30" hidden="1" customHeight="1">
      <c r="C80" s="1172"/>
      <c r="D80" s="1167"/>
      <c r="E80" s="1168"/>
      <c r="F80" s="1169"/>
      <c r="G80" s="1195"/>
      <c r="H80" s="1170"/>
      <c r="I80" s="1177"/>
      <c r="J80" s="1177"/>
      <c r="K80" s="117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3:28" s="1132" customFormat="1" ht="30" hidden="1" customHeight="1">
      <c r="C81" s="1172"/>
      <c r="D81" s="1167"/>
      <c r="E81" s="1168"/>
      <c r="F81" s="1169"/>
      <c r="G81" s="1195"/>
      <c r="H81" s="1170"/>
      <c r="I81" s="1177"/>
      <c r="J81" s="1177"/>
      <c r="K81" s="117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3:28" s="1132" customFormat="1" ht="30" hidden="1" customHeight="1">
      <c r="C82" s="1172"/>
      <c r="D82" s="1167"/>
      <c r="E82" s="1168"/>
      <c r="F82" s="1169"/>
      <c r="G82" s="1195"/>
      <c r="H82" s="1170"/>
      <c r="I82" s="1177"/>
      <c r="J82" s="1177"/>
      <c r="K82" s="117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3:28" s="1132" customFormat="1" ht="30" hidden="1" customHeight="1">
      <c r="C83" s="1172"/>
      <c r="D83" s="1167"/>
      <c r="E83" s="1168"/>
      <c r="F83" s="1169"/>
      <c r="G83" s="1195"/>
      <c r="H83" s="1170"/>
      <c r="I83" s="1177"/>
      <c r="J83" s="1177"/>
      <c r="K83" s="117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3:28" s="1132" customFormat="1" ht="30" hidden="1" customHeight="1">
      <c r="C84" s="1172"/>
      <c r="D84" s="1167"/>
      <c r="E84" s="1168"/>
      <c r="F84" s="1169"/>
      <c r="G84" s="1195"/>
      <c r="H84" s="1170"/>
      <c r="I84" s="1177"/>
      <c r="J84" s="1177"/>
      <c r="K84" s="117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3:28" s="1132" customFormat="1" ht="30" hidden="1" customHeight="1">
      <c r="C85" s="1172"/>
      <c r="D85" s="1167"/>
      <c r="E85" s="1168"/>
      <c r="F85" s="1169"/>
      <c r="G85" s="1195"/>
      <c r="H85" s="1170"/>
      <c r="I85" s="1177"/>
      <c r="J85" s="1177"/>
      <c r="K85" s="117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3:28" s="1132" customFormat="1" ht="30" hidden="1" customHeight="1">
      <c r="C86" s="1172"/>
      <c r="D86" s="1167"/>
      <c r="E86" s="1168"/>
      <c r="F86" s="1169"/>
      <c r="G86" s="1195"/>
      <c r="H86" s="1170"/>
      <c r="I86" s="1177"/>
      <c r="J86" s="1177"/>
      <c r="K86" s="117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3:28" s="1132" customFormat="1" ht="30" hidden="1" customHeight="1">
      <c r="C87" s="1172"/>
      <c r="D87" s="1167"/>
      <c r="E87" s="1168"/>
      <c r="F87" s="1169"/>
      <c r="G87" s="1195"/>
      <c r="H87" s="1170"/>
      <c r="I87" s="1177"/>
      <c r="J87" s="1177"/>
      <c r="K87" s="117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3:28" s="1132" customFormat="1" ht="30" hidden="1" customHeight="1">
      <c r="C88" s="1172"/>
      <c r="D88" s="1167"/>
      <c r="E88" s="1168"/>
      <c r="F88" s="1169"/>
      <c r="G88" s="1195"/>
      <c r="H88" s="1170"/>
      <c r="I88" s="1177"/>
      <c r="J88" s="1177"/>
      <c r="K88" s="117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3:28" s="1132" customFormat="1" ht="30" hidden="1" customHeight="1">
      <c r="C89" s="1172"/>
      <c r="D89" s="1167"/>
      <c r="E89" s="1168"/>
      <c r="F89" s="1169"/>
      <c r="G89" s="1195"/>
      <c r="H89" s="1170"/>
      <c r="I89" s="1177"/>
      <c r="J89" s="1177"/>
      <c r="K89" s="117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3:28" s="1132" customFormat="1" ht="30" hidden="1" customHeight="1">
      <c r="C90" s="1172"/>
      <c r="D90" s="1167"/>
      <c r="E90" s="1168"/>
      <c r="F90" s="1169"/>
      <c r="G90" s="1195"/>
      <c r="H90" s="1170"/>
      <c r="I90" s="1177"/>
      <c r="J90" s="1177"/>
      <c r="K90" s="117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3:28" s="1132" customFormat="1" ht="30" hidden="1" customHeight="1">
      <c r="C91" s="1172"/>
      <c r="D91" s="1167"/>
      <c r="E91" s="1168"/>
      <c r="F91" s="1169"/>
      <c r="G91" s="1195"/>
      <c r="H91" s="1170"/>
      <c r="I91" s="1177"/>
      <c r="J91" s="1177"/>
      <c r="K91" s="117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3:28" s="1132" customFormat="1" ht="30" hidden="1" customHeight="1">
      <c r="C92" s="1172"/>
      <c r="D92" s="1167"/>
      <c r="E92" s="1168"/>
      <c r="F92" s="1169"/>
      <c r="G92" s="1195"/>
      <c r="H92" s="1170"/>
      <c r="I92" s="1177"/>
      <c r="J92" s="1177"/>
      <c r="K92" s="117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3:28" s="1132" customFormat="1" ht="30" hidden="1" customHeight="1">
      <c r="C93" s="1172"/>
      <c r="D93" s="1167"/>
      <c r="E93" s="1168"/>
      <c r="F93" s="1169"/>
      <c r="G93" s="1195"/>
      <c r="H93" s="1170"/>
      <c r="I93" s="1177"/>
      <c r="J93" s="1177"/>
      <c r="K93" s="117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3:28" s="1132" customFormat="1" ht="30" hidden="1" customHeight="1">
      <c r="C94" s="1172"/>
      <c r="D94" s="1167"/>
      <c r="E94" s="1168"/>
      <c r="F94" s="1169"/>
      <c r="G94" s="1195"/>
      <c r="H94" s="1170"/>
      <c r="I94" s="1177"/>
      <c r="J94" s="1177"/>
      <c r="K94" s="117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3:28" s="1132" customFormat="1" ht="30" hidden="1" customHeight="1">
      <c r="C95" s="1172"/>
      <c r="D95" s="1167"/>
      <c r="E95" s="1168"/>
      <c r="F95" s="1169"/>
      <c r="G95" s="1195"/>
      <c r="H95" s="1170"/>
      <c r="I95" s="1177"/>
      <c r="J95" s="1177"/>
      <c r="K95" s="117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3:28" s="1132" customFormat="1" ht="30" hidden="1" customHeight="1">
      <c r="C96" s="1172"/>
      <c r="D96" s="1167"/>
      <c r="E96" s="1168"/>
      <c r="F96" s="1169"/>
      <c r="G96" s="1195"/>
      <c r="H96" s="1170"/>
      <c r="I96" s="1177"/>
      <c r="J96" s="1177"/>
      <c r="K96" s="117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3:28" s="1132" customFormat="1" ht="30" hidden="1" customHeight="1">
      <c r="C97" s="1172"/>
      <c r="D97" s="1167"/>
      <c r="E97" s="1168"/>
      <c r="F97" s="1169"/>
      <c r="G97" s="1195"/>
      <c r="H97" s="1170"/>
      <c r="I97" s="1177"/>
      <c r="J97" s="1177"/>
      <c r="K97" s="117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3:28" s="1132" customFormat="1" ht="30" hidden="1" customHeight="1">
      <c r="C98" s="1172"/>
      <c r="D98" s="1167"/>
      <c r="E98" s="1168"/>
      <c r="F98" s="1169"/>
      <c r="G98" s="1195"/>
      <c r="H98" s="1170"/>
      <c r="I98" s="1177"/>
      <c r="J98" s="1177"/>
      <c r="K98" s="117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3:28" s="1132" customFormat="1" ht="30" hidden="1" customHeight="1">
      <c r="C99" s="1172"/>
      <c r="D99" s="1167"/>
      <c r="E99" s="1168"/>
      <c r="F99" s="1169"/>
      <c r="G99" s="1195"/>
      <c r="H99" s="1170"/>
      <c r="I99" s="1177"/>
      <c r="J99" s="1177"/>
      <c r="K99" s="117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3:28" s="1132" customFormat="1" ht="30" hidden="1" customHeight="1">
      <c r="C100" s="1172"/>
      <c r="D100" s="1167"/>
      <c r="E100" s="1168"/>
      <c r="F100" s="1169"/>
      <c r="G100" s="1195"/>
      <c r="H100" s="1170"/>
      <c r="I100" s="1177"/>
      <c r="J100" s="1177"/>
      <c r="K100" s="117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3:28" s="1132" customFormat="1" ht="30" hidden="1" customHeight="1">
      <c r="C101" s="1172"/>
      <c r="D101" s="1167"/>
      <c r="E101" s="1168"/>
      <c r="F101" s="1169"/>
      <c r="G101" s="1195"/>
      <c r="H101" s="1170"/>
      <c r="I101" s="1177"/>
      <c r="J101" s="1177"/>
      <c r="K101" s="117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3:28" s="1132" customFormat="1" ht="30" hidden="1" customHeight="1">
      <c r="C102" s="1172"/>
      <c r="D102" s="1167"/>
      <c r="E102" s="1168"/>
      <c r="F102" s="1169"/>
      <c r="G102" s="1195"/>
      <c r="H102" s="1170"/>
      <c r="I102" s="1177"/>
      <c r="J102" s="1177"/>
      <c r="K102" s="117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3:28" s="1132" customFormat="1" ht="30" hidden="1" customHeight="1">
      <c r="C103" s="1172"/>
      <c r="D103" s="1167"/>
      <c r="E103" s="1168"/>
      <c r="F103" s="1169"/>
      <c r="G103" s="1195"/>
      <c r="H103" s="1170"/>
      <c r="I103" s="1177"/>
      <c r="J103" s="1177"/>
      <c r="K103" s="117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3:28" s="1132" customFormat="1" ht="30" hidden="1" customHeight="1">
      <c r="C104" s="1172"/>
      <c r="D104" s="1167"/>
      <c r="E104" s="1168"/>
      <c r="F104" s="1169"/>
      <c r="G104" s="1195"/>
      <c r="H104" s="1170"/>
      <c r="I104" s="1177"/>
      <c r="J104" s="1177"/>
      <c r="K104" s="117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3:28" s="1132" customFormat="1" ht="30" hidden="1" customHeight="1">
      <c r="C105" s="1172"/>
      <c r="D105" s="1167"/>
      <c r="E105" s="1168"/>
      <c r="F105" s="1169"/>
      <c r="G105" s="1195"/>
      <c r="H105" s="1170"/>
      <c r="I105" s="1177"/>
      <c r="J105" s="1177"/>
      <c r="K105" s="117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3:28" s="1132" customFormat="1" ht="30" hidden="1" customHeight="1">
      <c r="C106" s="1172"/>
      <c r="D106" s="1167"/>
      <c r="E106" s="1168"/>
      <c r="F106" s="1169"/>
      <c r="G106" s="1195"/>
      <c r="H106" s="1170"/>
      <c r="I106" s="1177"/>
      <c r="J106" s="1177"/>
      <c r="K106" s="117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3:28" s="1132" customFormat="1" ht="30" hidden="1" customHeight="1">
      <c r="C107" s="1172"/>
      <c r="D107" s="1167"/>
      <c r="E107" s="1168"/>
      <c r="F107" s="1169"/>
      <c r="G107" s="1195"/>
      <c r="H107" s="1170"/>
      <c r="I107" s="1177"/>
      <c r="J107" s="1177"/>
      <c r="K107" s="117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3:28" s="1132" customFormat="1" ht="30" hidden="1" customHeight="1">
      <c r="C108" s="1172"/>
      <c r="D108" s="1167"/>
      <c r="E108" s="1168"/>
      <c r="F108" s="1169"/>
      <c r="G108" s="1195"/>
      <c r="H108" s="1170"/>
      <c r="I108" s="1177"/>
      <c r="J108" s="1177"/>
      <c r="K108" s="117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3:28" s="1132" customFormat="1" ht="30" hidden="1" customHeight="1">
      <c r="C109" s="1172"/>
      <c r="D109" s="1167"/>
      <c r="E109" s="1168"/>
      <c r="F109" s="1169"/>
      <c r="G109" s="1195"/>
      <c r="H109" s="1170"/>
      <c r="I109" s="1177"/>
      <c r="J109" s="1177"/>
      <c r="K109" s="117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3:28" s="1132" customFormat="1" ht="30" hidden="1" customHeight="1">
      <c r="C110" s="1172"/>
      <c r="D110" s="1167"/>
      <c r="E110" s="1168"/>
      <c r="F110" s="1169"/>
      <c r="G110" s="1195"/>
      <c r="H110" s="1170"/>
      <c r="I110" s="1177"/>
      <c r="J110" s="1177"/>
      <c r="K110" s="117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3:28" s="1132" customFormat="1" ht="30" hidden="1" customHeight="1">
      <c r="C111" s="1172"/>
      <c r="D111" s="1167"/>
      <c r="E111" s="1168"/>
      <c r="F111" s="1169"/>
      <c r="G111" s="1195"/>
      <c r="H111" s="1170"/>
      <c r="I111" s="1177"/>
      <c r="J111" s="1177"/>
      <c r="K111" s="117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3:28" s="1132" customFormat="1" ht="30" hidden="1" customHeight="1">
      <c r="C112" s="1172"/>
      <c r="D112" s="1167"/>
      <c r="E112" s="1168"/>
      <c r="F112" s="1169"/>
      <c r="G112" s="1195"/>
      <c r="H112" s="1170"/>
      <c r="I112" s="1177"/>
      <c r="J112" s="1177"/>
      <c r="K112" s="117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3:28" s="1132" customFormat="1" ht="30" hidden="1" customHeight="1">
      <c r="C113" s="1172"/>
      <c r="D113" s="1167"/>
      <c r="E113" s="1168"/>
      <c r="F113" s="1169"/>
      <c r="G113" s="1195"/>
      <c r="H113" s="1170"/>
      <c r="I113" s="1177"/>
      <c r="J113" s="1177"/>
      <c r="K113" s="117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3:28" s="1132" customFormat="1" ht="30" hidden="1" customHeight="1">
      <c r="C114" s="1172"/>
      <c r="D114" s="1167"/>
      <c r="E114" s="1168"/>
      <c r="F114" s="1169"/>
      <c r="G114" s="1195"/>
      <c r="H114" s="1170"/>
      <c r="I114" s="1177"/>
      <c r="J114" s="1177"/>
      <c r="K114" s="117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3:28" s="1132" customFormat="1" ht="30" hidden="1" customHeight="1">
      <c r="C115" s="1172"/>
      <c r="D115" s="1167"/>
      <c r="E115" s="1168"/>
      <c r="F115" s="1169"/>
      <c r="G115" s="1195"/>
      <c r="H115" s="1170"/>
      <c r="I115" s="1177"/>
      <c r="J115" s="1177"/>
      <c r="K115" s="117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3:28" s="1132" customFormat="1" ht="30" hidden="1" customHeight="1">
      <c r="C116" s="1172"/>
      <c r="D116" s="1167"/>
      <c r="E116" s="1168"/>
      <c r="F116" s="1169"/>
      <c r="G116" s="1195"/>
      <c r="H116" s="1170"/>
      <c r="I116" s="1177"/>
      <c r="J116" s="1177"/>
      <c r="K116" s="117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3:28" s="1132" customFormat="1" ht="30" hidden="1" customHeight="1">
      <c r="C117" s="1172"/>
      <c r="D117" s="1167"/>
      <c r="E117" s="1168"/>
      <c r="F117" s="1169"/>
      <c r="G117" s="1195"/>
      <c r="H117" s="1170"/>
      <c r="I117" s="1177"/>
      <c r="J117" s="1177"/>
      <c r="K117" s="117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3:28" s="1132" customFormat="1" ht="30" hidden="1" customHeight="1">
      <c r="C118" s="1172"/>
      <c r="D118" s="1167"/>
      <c r="E118" s="1168"/>
      <c r="F118" s="1169"/>
      <c r="G118" s="1195"/>
      <c r="H118" s="1170"/>
      <c r="I118" s="1177"/>
      <c r="J118" s="1177"/>
      <c r="K118" s="117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3:28" s="1132" customFormat="1" ht="30" hidden="1" customHeight="1">
      <c r="C119" s="1172"/>
      <c r="D119" s="1167"/>
      <c r="E119" s="1168"/>
      <c r="F119" s="1169"/>
      <c r="G119" s="1195"/>
      <c r="H119" s="1170"/>
      <c r="I119" s="1177"/>
      <c r="J119" s="1177"/>
      <c r="K119" s="117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3:28" s="1132" customFormat="1" ht="30" hidden="1" customHeight="1">
      <c r="C120" s="1172"/>
      <c r="D120" s="1167"/>
      <c r="E120" s="1168"/>
      <c r="F120" s="1169"/>
      <c r="G120" s="1195"/>
      <c r="H120" s="1170"/>
      <c r="I120" s="1177"/>
      <c r="J120" s="1177"/>
      <c r="K120" s="117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3:28" s="1132" customFormat="1" ht="30" hidden="1" customHeight="1">
      <c r="C121" s="1172"/>
      <c r="D121" s="1167"/>
      <c r="E121" s="1168"/>
      <c r="F121" s="1169"/>
      <c r="G121" s="1195"/>
      <c r="H121" s="1170"/>
      <c r="I121" s="1177"/>
      <c r="J121" s="1177"/>
      <c r="K121" s="117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3:28" s="1132" customFormat="1" ht="30" hidden="1" customHeight="1">
      <c r="C122" s="1172"/>
      <c r="D122" s="1167"/>
      <c r="E122" s="1168"/>
      <c r="F122" s="1169"/>
      <c r="G122" s="1195"/>
      <c r="H122" s="1170"/>
      <c r="I122" s="1177"/>
      <c r="J122" s="1177"/>
      <c r="K122" s="117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3:28" s="1132" customFormat="1" ht="30" hidden="1" customHeight="1">
      <c r="C123" s="1172"/>
      <c r="D123" s="1167"/>
      <c r="E123" s="1168"/>
      <c r="F123" s="1169"/>
      <c r="G123" s="1195"/>
      <c r="H123" s="1170"/>
      <c r="I123" s="1177"/>
      <c r="J123" s="1177"/>
      <c r="K123" s="117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3:28" s="1132" customFormat="1" ht="30" hidden="1" customHeight="1">
      <c r="C124" s="1172"/>
      <c r="D124" s="1167"/>
      <c r="E124" s="1168"/>
      <c r="F124" s="1169"/>
      <c r="G124" s="1195"/>
      <c r="H124" s="1170"/>
      <c r="I124" s="1177"/>
      <c r="J124" s="1177"/>
      <c r="K124" s="117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3:28" s="1132" customFormat="1" ht="30" hidden="1" customHeight="1">
      <c r="C125" s="1172"/>
      <c r="D125" s="1167"/>
      <c r="E125" s="1168"/>
      <c r="F125" s="1169"/>
      <c r="G125" s="1195"/>
      <c r="H125" s="1170"/>
      <c r="I125" s="1177"/>
      <c r="J125" s="1177"/>
      <c r="K125" s="117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3:28" s="1132" customFormat="1" ht="30" hidden="1" customHeight="1">
      <c r="C126" s="1172"/>
      <c r="D126" s="1167"/>
      <c r="E126" s="1168"/>
      <c r="F126" s="1169"/>
      <c r="G126" s="1195"/>
      <c r="H126" s="1170"/>
      <c r="I126" s="1177"/>
      <c r="J126" s="1177"/>
      <c r="K126" s="117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3:28" s="1132" customFormat="1" ht="30" hidden="1" customHeight="1">
      <c r="C127" s="1172"/>
      <c r="D127" s="1167"/>
      <c r="E127" s="1168"/>
      <c r="F127" s="1169"/>
      <c r="G127" s="1195"/>
      <c r="H127" s="1170"/>
      <c r="I127" s="1177"/>
      <c r="J127" s="1177"/>
      <c r="K127" s="117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3:28" s="1132" customFormat="1" ht="30" hidden="1" customHeight="1">
      <c r="C128" s="1172"/>
      <c r="D128" s="1167"/>
      <c r="E128" s="1168"/>
      <c r="F128" s="1169"/>
      <c r="G128" s="1195"/>
      <c r="H128" s="1170"/>
      <c r="I128" s="1177"/>
      <c r="J128" s="1177"/>
      <c r="K128" s="117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3:28" s="1132" customFormat="1" ht="30" hidden="1" customHeight="1">
      <c r="C129" s="1172"/>
      <c r="D129" s="1167"/>
      <c r="E129" s="1168"/>
      <c r="F129" s="1169"/>
      <c r="G129" s="1195"/>
      <c r="H129" s="1170"/>
      <c r="I129" s="1177"/>
      <c r="J129" s="1177"/>
      <c r="K129" s="117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3:28" s="1132" customFormat="1" ht="30" hidden="1" customHeight="1">
      <c r="C130" s="1172"/>
      <c r="D130" s="1167"/>
      <c r="E130" s="1168"/>
      <c r="F130" s="1169"/>
      <c r="G130" s="1195"/>
      <c r="H130" s="1170"/>
      <c r="I130" s="1177"/>
      <c r="J130" s="1177"/>
      <c r="K130" s="117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3:28" s="1132" customFormat="1" ht="30" hidden="1" customHeight="1">
      <c r="C131" s="1172"/>
      <c r="D131" s="1167"/>
      <c r="E131" s="1168"/>
      <c r="F131" s="1169"/>
      <c r="G131" s="1195"/>
      <c r="H131" s="1170"/>
      <c r="I131" s="1177"/>
      <c r="J131" s="1177"/>
      <c r="K131" s="117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3:28" s="1132" customFormat="1" ht="30" hidden="1" customHeight="1">
      <c r="C132" s="1172"/>
      <c r="D132" s="1167"/>
      <c r="E132" s="1168"/>
      <c r="F132" s="1169"/>
      <c r="G132" s="1195"/>
      <c r="H132" s="1170"/>
      <c r="I132" s="1177"/>
      <c r="J132" s="1177"/>
      <c r="K132" s="117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3:28" s="1132" customFormat="1" ht="30" hidden="1" customHeight="1">
      <c r="C133" s="1172"/>
      <c r="D133" s="1167"/>
      <c r="E133" s="1168"/>
      <c r="F133" s="1169"/>
      <c r="G133" s="1195"/>
      <c r="H133" s="1170"/>
      <c r="I133" s="1177"/>
      <c r="J133" s="1177"/>
      <c r="K133" s="117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3:28" s="1132" customFormat="1" ht="30" hidden="1" customHeight="1">
      <c r="C134" s="1172"/>
      <c r="D134" s="1167"/>
      <c r="E134" s="1168"/>
      <c r="F134" s="1169"/>
      <c r="G134" s="1195"/>
      <c r="H134" s="1170"/>
      <c r="I134" s="1177"/>
      <c r="J134" s="1177"/>
      <c r="K134" s="117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3:28" s="1132" customFormat="1" ht="30" hidden="1" customHeight="1">
      <c r="C135" s="1172"/>
      <c r="D135" s="1167"/>
      <c r="E135" s="1168"/>
      <c r="F135" s="1169"/>
      <c r="G135" s="1195"/>
      <c r="H135" s="1170"/>
      <c r="I135" s="1177"/>
      <c r="J135" s="1177"/>
      <c r="K135" s="117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3:28" s="1132" customFormat="1" ht="30" hidden="1" customHeight="1">
      <c r="C136" s="1172"/>
      <c r="D136" s="1167"/>
      <c r="E136" s="1168"/>
      <c r="F136" s="1169"/>
      <c r="G136" s="1195"/>
      <c r="H136" s="1170"/>
      <c r="I136" s="1177"/>
      <c r="J136" s="1177"/>
      <c r="K136" s="117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3:28" s="1132" customFormat="1" ht="30" hidden="1" customHeight="1">
      <c r="C137" s="1172"/>
      <c r="D137" s="1167"/>
      <c r="E137" s="1168"/>
      <c r="F137" s="1169"/>
      <c r="G137" s="1195"/>
      <c r="H137" s="1170"/>
      <c r="I137" s="1177"/>
      <c r="J137" s="1177"/>
      <c r="K137" s="117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3:28" s="1132" customFormat="1" ht="30" hidden="1" customHeight="1">
      <c r="C138" s="1172"/>
      <c r="D138" s="1167"/>
      <c r="E138" s="1168"/>
      <c r="F138" s="1169"/>
      <c r="G138" s="1195"/>
      <c r="H138" s="1170"/>
      <c r="I138" s="1177"/>
      <c r="J138" s="1177"/>
      <c r="K138" s="117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3:28" s="1132" customFormat="1" ht="30" hidden="1" customHeight="1">
      <c r="C139" s="1172"/>
      <c r="D139" s="1167"/>
      <c r="E139" s="1168"/>
      <c r="F139" s="1169"/>
      <c r="G139" s="1195"/>
      <c r="H139" s="1170"/>
      <c r="I139" s="1177"/>
      <c r="J139" s="1177"/>
      <c r="K139" s="117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3:28" s="1132" customFormat="1" ht="30" hidden="1" customHeight="1">
      <c r="C140" s="1172"/>
      <c r="D140" s="1167"/>
      <c r="E140" s="1168"/>
      <c r="F140" s="1169"/>
      <c r="G140" s="1195"/>
      <c r="H140" s="1170"/>
      <c r="I140" s="1177"/>
      <c r="J140" s="1177"/>
      <c r="K140" s="117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3:28" s="1132" customFormat="1" ht="30" hidden="1" customHeight="1">
      <c r="C141" s="1172"/>
      <c r="D141" s="1167"/>
      <c r="E141" s="1168"/>
      <c r="F141" s="1169"/>
      <c r="G141" s="1195"/>
      <c r="H141" s="1170"/>
      <c r="I141" s="1177"/>
      <c r="J141" s="1177"/>
      <c r="K141" s="117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3:28" s="1132" customFormat="1" ht="30" hidden="1" customHeight="1">
      <c r="C142" s="1172"/>
      <c r="D142" s="1167"/>
      <c r="E142" s="1168"/>
      <c r="F142" s="1169"/>
      <c r="G142" s="1195"/>
      <c r="H142" s="1170"/>
      <c r="I142" s="1177"/>
      <c r="J142" s="1177"/>
      <c r="K142" s="117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3:28" s="1132" customFormat="1" ht="30" hidden="1" customHeight="1">
      <c r="C143" s="1172"/>
      <c r="D143" s="1167"/>
      <c r="E143" s="1168"/>
      <c r="F143" s="1169"/>
      <c r="G143" s="1195"/>
      <c r="H143" s="1170"/>
      <c r="I143" s="1177"/>
      <c r="J143" s="1177"/>
      <c r="K143" s="117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3:28" ht="33.950000000000003" customHeight="1">
      <c r="C144" s="269" t="s">
        <v>2443</v>
      </c>
      <c r="D144" s="1111"/>
      <c r="E144" s="1222"/>
      <c r="F144" s="1223">
        <v>4001</v>
      </c>
      <c r="G144" s="1645" t="s">
        <v>2440</v>
      </c>
      <c r="H144" s="1645"/>
      <c r="I144" s="1646"/>
      <c r="J144" s="1179">
        <v>200</v>
      </c>
      <c r="K144" s="1180">
        <v>800200</v>
      </c>
      <c r="N144" s="1219" t="s">
        <v>2438</v>
      </c>
      <c r="O144" s="1236">
        <v>0</v>
      </c>
    </row>
    <row r="145" spans="3:28" ht="33.950000000000003" customHeight="1">
      <c r="C145" s="1224" t="s">
        <v>2444</v>
      </c>
      <c r="D145" s="259"/>
      <c r="E145" s="1134"/>
      <c r="F145" s="1218"/>
      <c r="G145" s="1641" t="s">
        <v>2442</v>
      </c>
      <c r="H145" s="1641"/>
      <c r="I145" s="1642"/>
      <c r="J145" s="1179">
        <v>0</v>
      </c>
      <c r="K145" s="1180">
        <v>0</v>
      </c>
      <c r="N145" s="1219" t="s">
        <v>2439</v>
      </c>
      <c r="O145" s="1237">
        <v>0</v>
      </c>
    </row>
    <row r="146" spans="3:28" ht="50.25" customHeight="1">
      <c r="C146" s="1643" t="str">
        <f>SpellKhNumber(K146)</f>
        <v>Eight Hundred  Thousand Two Hundred  Riel</v>
      </c>
      <c r="D146" s="1643"/>
      <c r="E146" s="1643"/>
      <c r="F146" s="1643"/>
      <c r="G146" s="1647" t="s">
        <v>2441</v>
      </c>
      <c r="H146" s="1647"/>
      <c r="I146" s="1648"/>
      <c r="J146" s="1179">
        <v>200</v>
      </c>
      <c r="K146" s="1180">
        <v>800200</v>
      </c>
    </row>
    <row r="147" spans="3:28" ht="30" customHeight="1">
      <c r="C147" s="1220"/>
      <c r="D147" s="1220"/>
      <c r="E147" s="1220"/>
      <c r="F147" s="1220"/>
      <c r="G147" s="1644"/>
      <c r="H147" s="1644"/>
      <c r="I147" s="1644"/>
      <c r="J147" s="687"/>
    </row>
    <row r="148" spans="3:28">
      <c r="C148" s="1221"/>
      <c r="D148" s="1221"/>
      <c r="E148" s="1221"/>
      <c r="F148" s="1221"/>
      <c r="I148" s="115"/>
      <c r="J148" s="115"/>
      <c r="K148" s="115"/>
    </row>
    <row r="149" spans="3:28" ht="25.5">
      <c r="C149" s="1171" t="s">
        <v>2416</v>
      </c>
      <c r="D149" s="1135"/>
      <c r="E149" s="1135"/>
      <c r="F149" s="1136"/>
      <c r="G149" s="1137"/>
      <c r="H149" s="1138"/>
      <c r="I149" s="1138"/>
      <c r="J149" s="1139"/>
      <c r="K149" s="1140"/>
    </row>
    <row r="150" spans="3:28">
      <c r="C150" s="1149" t="s">
        <v>2381</v>
      </c>
      <c r="D150" s="1150" t="s">
        <v>2623</v>
      </c>
      <c r="E150" s="1150"/>
      <c r="F150" s="133"/>
      <c r="J150" s="5"/>
      <c r="K150" s="1141"/>
    </row>
    <row r="151" spans="3:28">
      <c r="C151" s="1149" t="s">
        <v>2382</v>
      </c>
      <c r="D151" s="1150" t="s">
        <v>1935</v>
      </c>
      <c r="E151" s="1150"/>
      <c r="F151" s="133"/>
      <c r="J151" s="5"/>
      <c r="K151" s="1141"/>
    </row>
    <row r="152" spans="3:28">
      <c r="C152" s="1149" t="s">
        <v>2383</v>
      </c>
      <c r="D152" s="1190" t="s">
        <v>2624</v>
      </c>
      <c r="E152" s="1151"/>
      <c r="F152" s="133"/>
      <c r="J152" s="5"/>
      <c r="K152" s="1141"/>
    </row>
    <row r="153" spans="3:28">
      <c r="C153" s="1142"/>
      <c r="D153" s="151"/>
      <c r="E153" s="151"/>
      <c r="F153"/>
      <c r="J153" s="5"/>
      <c r="K153" s="1141"/>
    </row>
    <row r="154" spans="3:28">
      <c r="C154" s="1143"/>
      <c r="D154" s="1144"/>
      <c r="E154" s="1144"/>
      <c r="F154" s="1145"/>
      <c r="G154" s="1146"/>
      <c r="H154" s="1145"/>
      <c r="I154" s="1145"/>
      <c r="J154" s="1147"/>
      <c r="K154" s="1148"/>
    </row>
    <row r="155" spans="3:28" ht="33.75" customHeight="1">
      <c r="C155" s="1173" t="s">
        <v>2417</v>
      </c>
      <c r="D155" s="1174"/>
      <c r="E155" s="1174"/>
      <c r="F155" s="1174"/>
      <c r="G155" s="1174"/>
      <c r="H155" s="1160"/>
      <c r="I155" s="1160"/>
      <c r="J155" s="1160"/>
      <c r="K155" s="1161"/>
    </row>
    <row r="156" spans="3:28" s="3" customFormat="1" ht="26.25" customHeight="1">
      <c r="C156" s="1175" t="s">
        <v>2418</v>
      </c>
      <c r="D156" s="1176"/>
      <c r="E156" s="1176"/>
      <c r="F156" s="1176"/>
      <c r="G156" s="1176"/>
      <c r="H156" s="1158"/>
      <c r="I156" s="1158"/>
      <c r="J156" s="1158"/>
      <c r="K156" s="115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1133"/>
    </row>
    <row r="158" spans="3:28" ht="15">
      <c r="D158"/>
      <c r="E158"/>
      <c r="F158"/>
    </row>
    <row r="159" spans="3:28">
      <c r="C159" s="1624"/>
      <c r="D159" s="1624"/>
      <c r="E159" s="1624"/>
      <c r="F159" s="1624"/>
      <c r="G159" s="1624"/>
      <c r="H159" s="5"/>
      <c r="I159" s="1624"/>
      <c r="J159" s="1624"/>
      <c r="K159" s="1624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R4:S4"/>
    <mergeCell ref="C3:K3"/>
    <mergeCell ref="C11:D11"/>
    <mergeCell ref="C159:G159"/>
    <mergeCell ref="I159:K159"/>
    <mergeCell ref="D26:F26"/>
    <mergeCell ref="F23:H23"/>
    <mergeCell ref="D25:F25"/>
    <mergeCell ref="G10:H14"/>
    <mergeCell ref="C13:F14"/>
    <mergeCell ref="F22:K22"/>
    <mergeCell ref="G145:I145"/>
    <mergeCell ref="C146:F146"/>
    <mergeCell ref="G147:I147"/>
    <mergeCell ref="G144:I144"/>
    <mergeCell ref="G146:I146"/>
  </mergeCells>
  <phoneticPr fontId="37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.19685039370078741" top="0.19685039370078741" bottom="0.19685039370078741" header="0" footer="7.874015748031496E-2"/>
  <pageSetup paperSize="9" scale="65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0" r:id="rId4" name="InvoiceComboBox">
          <controlPr defaultSize="0" autoLine="0" r:id="rId5">
            <anchor moveWithCells="1">
              <from>
                <xdr:col>14</xdr:col>
                <xdr:colOff>9525</xdr:colOff>
                <xdr:row>1</xdr:row>
                <xdr:rowOff>19050</xdr:rowOff>
              </from>
              <to>
                <xdr:col>14</xdr:col>
                <xdr:colOff>2714625</xdr:colOff>
                <xdr:row>2</xdr:row>
                <xdr:rowOff>428625</xdr:rowOff>
              </to>
            </anchor>
          </controlPr>
        </control>
      </mc:Choice>
      <mc:Fallback>
        <control shapeId="4356100" r:id="rId4" name="InvoiceComboBox"/>
      </mc:Fallback>
    </mc:AlternateContent>
    <mc:AlternateContent xmlns:mc="http://schemas.openxmlformats.org/markup-compatibility/2006">
      <mc:Choice Requires="x14">
        <control shapeId="4356099" r:id="rId6" name="Button 3">
          <controlPr defaultSize="0" print="0" autoFill="0" autoPict="0" macro="[0]!goToHome" altText="ទំព័រដើម">
            <anchor moveWithCells="1" sizeWithCells="1">
              <from>
                <xdr:col>13</xdr:col>
                <xdr:colOff>0</xdr:colOff>
                <xdr:row>0</xdr:row>
                <xdr:rowOff>276225</xdr:rowOff>
              </from>
              <to>
                <xdr:col>13</xdr:col>
                <xdr:colOff>1495425</xdr:colOff>
                <xdr:row>2</xdr:row>
                <xdr:rowOff>409575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BZ208"/>
  <sheetViews>
    <sheetView showGridLines="0" zoomScale="80" zoomScaleNormal="80" zoomScaleSheetLayoutView="80" workbookViewId="0">
      <pane ySplit="7" topLeftCell="A8" activePane="bottomLeft" state="frozen"/>
      <selection pane="bottomLeft" activeCell="AG9" sqref="AG9"/>
    </sheetView>
  </sheetViews>
  <sheetFormatPr defaultRowHeight="24.95" customHeight="1"/>
  <cols>
    <col min="1" max="1" width="1.5703125" style="408" customWidth="1"/>
    <col min="2" max="2" width="4" style="408" customWidth="1"/>
    <col min="3" max="3" width="32" style="408" customWidth="1"/>
    <col min="4" max="4" width="8.7109375" style="408" customWidth="1"/>
    <col min="5" max="5" width="31.42578125" style="408" customWidth="1"/>
    <col min="6" max="6" width="10.5703125" style="408" customWidth="1"/>
    <col min="7" max="7" width="2.140625" style="216" hidden="1" customWidth="1"/>
    <col min="8" max="8" width="4.85546875" style="216" hidden="1" customWidth="1"/>
    <col min="9" max="9" width="3.5703125" style="426" customWidth="1"/>
    <col min="10" max="10" width="8" style="143" customWidth="1"/>
    <col min="11" max="11" width="6.28515625" style="143" customWidth="1"/>
    <col min="12" max="12" width="12.42578125" style="755" customWidth="1"/>
    <col min="13" max="13" width="40.5703125" style="331" customWidth="1"/>
    <col min="14" max="14" width="11.28515625" style="756" customWidth="1"/>
    <col min="15" max="15" width="12.85546875" style="143" customWidth="1"/>
    <col min="16" max="16" width="20.7109375" style="143" customWidth="1"/>
    <col min="17" max="17" width="12.7109375" style="143" bestFit="1" customWidth="1"/>
    <col min="18" max="18" width="13.42578125" style="143" bestFit="1" customWidth="1"/>
    <col min="19" max="19" width="4.7109375" style="301" customWidth="1"/>
    <col min="20" max="20" width="18.140625" style="301" customWidth="1"/>
    <col min="21" max="21" width="19.5703125" style="1048" customWidth="1"/>
    <col min="22" max="22" width="3" style="1428" customWidth="1"/>
    <col min="23" max="23" width="18.7109375" style="1048" customWidth="1"/>
    <col min="24" max="24" width="3.28515625" style="4" customWidth="1"/>
    <col min="25" max="25" width="16.5703125" style="1048" customWidth="1"/>
    <col min="26" max="26" width="12.140625" style="408" customWidth="1"/>
    <col min="27" max="27" width="18" style="408" customWidth="1"/>
    <col min="28" max="28" width="14.85546875" style="408" customWidth="1"/>
    <col min="29" max="29" width="16.140625" style="143" customWidth="1"/>
    <col min="30" max="30" width="7.42578125" style="143" customWidth="1"/>
    <col min="31" max="31" width="13.7109375" style="408" customWidth="1"/>
    <col min="32" max="32" width="14.85546875" style="408" customWidth="1"/>
    <col min="33" max="33" width="17.28515625" style="408" customWidth="1"/>
    <col min="34" max="34" width="22.7109375" style="408" customWidth="1"/>
    <col min="35" max="35" width="18.5703125" style="408" customWidth="1"/>
    <col min="36" max="36" width="16.42578125" style="408" customWidth="1"/>
    <col min="37" max="37" width="19.42578125" style="380" bestFit="1" customWidth="1"/>
    <col min="38" max="38" width="13.85546875" style="380" bestFit="1" customWidth="1"/>
    <col min="39" max="39" width="14.28515625" style="126" bestFit="1" customWidth="1"/>
    <col min="40" max="40" width="14.42578125" style="126" bestFit="1" customWidth="1"/>
    <col min="41" max="41" width="19.85546875" style="126" customWidth="1"/>
    <col min="42" max="42" width="13.85546875" style="126" bestFit="1" customWidth="1"/>
    <col min="43" max="43" width="14.42578125" style="126" bestFit="1" customWidth="1"/>
    <col min="44" max="44" width="9.5703125" style="13" bestFit="1" customWidth="1"/>
    <col min="45" max="45" width="16.28515625" style="126" bestFit="1" customWidth="1"/>
    <col min="46" max="46" width="14.28515625" style="126" bestFit="1" customWidth="1"/>
    <col min="47" max="47" width="13.7109375" style="143" bestFit="1" customWidth="1"/>
    <col min="48" max="48" width="17.42578125" style="143" bestFit="1" customWidth="1"/>
    <col min="49" max="49" width="9.85546875" style="408" customWidth="1"/>
    <col min="50" max="50" width="21" style="408" customWidth="1"/>
    <col min="51" max="51" width="7.7109375" style="408" customWidth="1"/>
    <col min="52" max="52" width="6.7109375" style="408" customWidth="1"/>
    <col min="53" max="53" width="6.140625" style="408" bestFit="1" customWidth="1"/>
    <col min="54" max="54" width="9.140625" style="408" customWidth="1"/>
    <col min="55" max="55" width="2.7109375" style="691" customWidth="1"/>
    <col min="56" max="56" width="9.7109375" style="408" customWidth="1"/>
    <col min="57" max="57" width="2.7109375" style="691" customWidth="1"/>
    <col min="58" max="58" width="11.85546875" style="408" customWidth="1"/>
    <col min="59" max="59" width="2.7109375" style="691" customWidth="1"/>
    <col min="60" max="60" width="16" style="408" customWidth="1"/>
    <col min="61" max="61" width="2.85546875" style="408" customWidth="1"/>
    <col min="62" max="62" width="5.140625" style="408" customWidth="1"/>
    <col min="63" max="63" width="1.85546875" style="408" customWidth="1"/>
    <col min="64" max="64" width="5.85546875" style="408" customWidth="1"/>
    <col min="65" max="65" width="7.140625" style="408" customWidth="1"/>
    <col min="66" max="66" width="1.42578125" style="408" customWidth="1"/>
    <col min="67" max="67" width="9.85546875" style="408" customWidth="1"/>
    <col min="68" max="68" width="21" style="408" customWidth="1"/>
    <col min="69" max="69" width="7.7109375" style="408" customWidth="1"/>
    <col min="70" max="71" width="6.7109375" style="408" customWidth="1"/>
    <col min="72" max="72" width="9.28515625" style="408" customWidth="1"/>
    <col min="73" max="73" width="2.7109375" style="691" customWidth="1"/>
    <col min="74" max="74" width="9.7109375" style="408" customWidth="1"/>
    <col min="75" max="75" width="2.7109375" style="691" customWidth="1"/>
    <col min="76" max="76" width="11.85546875" style="408" customWidth="1"/>
    <col min="77" max="77" width="2.7109375" style="691" customWidth="1"/>
    <col min="78" max="78" width="16" style="408" customWidth="1"/>
    <col min="79" max="79" width="1.7109375" style="408" customWidth="1"/>
    <col min="80" max="80" width="9.140625" style="408" customWidth="1"/>
    <col min="81" max="16384" width="9.140625" style="408"/>
  </cols>
  <sheetData>
    <row r="1" spans="1:77" ht="8.25" customHeight="1" thickBot="1">
      <c r="B1" s="752"/>
      <c r="C1" s="753"/>
      <c r="D1" s="753"/>
      <c r="E1" s="753"/>
      <c r="F1" s="753"/>
    </row>
    <row r="2" spans="1:77" ht="38.25">
      <c r="B2" s="916"/>
      <c r="C2" s="917"/>
      <c r="D2" s="917"/>
      <c r="E2" s="917"/>
      <c r="F2" s="918"/>
      <c r="G2" s="902"/>
      <c r="H2" s="902"/>
      <c r="I2" s="1312"/>
      <c r="J2" s="985" t="s">
        <v>2173</v>
      </c>
      <c r="K2" s="761"/>
      <c r="L2" s="761"/>
      <c r="M2" s="761"/>
      <c r="N2" s="761"/>
      <c r="O2" s="761"/>
      <c r="P2" s="761"/>
      <c r="Q2" s="761"/>
      <c r="R2" s="761"/>
      <c r="S2" s="1056"/>
      <c r="T2" s="1056"/>
      <c r="U2" s="1049"/>
      <c r="V2" s="1432"/>
      <c r="W2" s="1049"/>
      <c r="X2" s="1056"/>
      <c r="Y2" s="1049"/>
    </row>
    <row r="3" spans="1:77" ht="8.25" customHeight="1">
      <c r="B3" s="919"/>
      <c r="C3" s="920"/>
      <c r="D3" s="920"/>
      <c r="E3" s="920"/>
      <c r="F3" s="921"/>
      <c r="G3" s="903"/>
      <c r="H3" s="903"/>
      <c r="I3" s="1313"/>
      <c r="J3" s="763"/>
      <c r="K3" s="763"/>
      <c r="L3" s="763"/>
      <c r="M3" s="763"/>
      <c r="N3" s="763"/>
      <c r="O3" s="763"/>
      <c r="P3" s="763"/>
      <c r="Q3" s="763"/>
      <c r="R3" s="763"/>
      <c r="S3" s="1057"/>
      <c r="T3" s="1057"/>
      <c r="U3" s="1050"/>
      <c r="V3" s="1432"/>
      <c r="W3" s="1050"/>
      <c r="X3" s="1057"/>
      <c r="Y3" s="1050"/>
    </row>
    <row r="4" spans="1:77" ht="27.75" customHeight="1">
      <c r="A4" s="765"/>
      <c r="B4" s="922"/>
      <c r="C4" s="923"/>
      <c r="D4" s="923"/>
      <c r="E4" s="923"/>
      <c r="F4" s="924"/>
      <c r="J4" s="1593"/>
      <c r="K4" s="1594"/>
      <c r="L4" s="1594"/>
      <c r="M4" s="1595"/>
      <c r="N4" s="1198"/>
      <c r="O4" s="1225" t="s">
        <v>2446</v>
      </c>
      <c r="S4" s="1590">
        <v>4001</v>
      </c>
      <c r="T4" s="1591"/>
      <c r="U4" s="1591"/>
      <c r="V4" s="1592"/>
      <c r="AF4" s="408">
        <f>SUMIFS('2_inventory_total_details'!$J$8:$J$10000,'2_inventory_total_details'!$C$8:$C$10000,I8,'1_inventory_total_details'!$F$8:$F$10000,pb_location_id,'2_inventory_total_details'!$G$8:$G$10000,"="&amp;Q8,'2_inventory_total_details'!$H$8:$H$10000,"="&amp;R8,'2_inventory_total_details'!$I$8:$I$10000,"="&amp;pb_date)+SUMIFS('2_inventory_total_details'!$M$8:$M$10000,'2_inventory_total_details'!$C$8:$C$10000,I8,'2_inventory_total_details'!$F$8:$F$10000,pb_location_id,'2_inventory_total_details'!$G$8:$G$10000,"="&amp;Q8,'2_inventory_total_details'!$H$8:$H$10000,"="&amp;R8,'2_inventory_total_details'!$I$8:$I$10000,"="&amp;pb_date)+SUMIFS('2_inventory_total_details'!$K$8:$K$10000,'2_inventory_total_details'!$C$8:$C$10000,I8,'2_inventory_total_details'!$F$8:$F$10000,pb_location_id,'2_inventory_total_details'!$G$8:$G$10000,"="&amp;Q8,'2_inventory_total_details'!$H$8:$H$10000,"="&amp;R8,'2_inventory_total_details'!$I$8:$I$10000,"="&amp;pb_date)+SUMIFS('2_inventory_total_details'!$L$8:$L$10000,'2_inventory_total_details'!$C$8:$C$10000,I8,'2_inventory_total_details'!$F$8:$F$10000,pb_location_id,'2_inventory_total_details'!$G$8:$G$10000,"="&amp;Q8,'2_inventory_total_details'!$H$8:$H$10000,"="&amp;R8,'2_inventory_total_details'!$I$8:$I$10000,"="&amp;pb_date)</f>
        <v>0</v>
      </c>
    </row>
    <row r="5" spans="1:77" s="143" customFormat="1" ht="9" customHeight="1">
      <c r="A5" s="770"/>
      <c r="B5" s="925"/>
      <c r="C5" s="926"/>
      <c r="D5" s="926"/>
      <c r="E5" s="926"/>
      <c r="F5" s="927"/>
      <c r="G5" s="901"/>
      <c r="H5" s="901"/>
      <c r="I5" s="426"/>
      <c r="L5" s="755"/>
      <c r="M5" s="331"/>
      <c r="N5" s="756"/>
      <c r="S5" s="301"/>
      <c r="T5" s="301"/>
      <c r="U5" s="1051"/>
      <c r="V5" s="1428"/>
      <c r="W5" s="1051"/>
      <c r="X5" s="301"/>
      <c r="Y5" s="1051"/>
      <c r="AK5" s="126"/>
      <c r="AL5" s="126"/>
      <c r="AM5" s="126"/>
      <c r="AN5" s="126"/>
      <c r="AO5" s="126"/>
      <c r="AP5" s="126"/>
      <c r="AQ5" s="126"/>
      <c r="AS5" s="126"/>
      <c r="AT5" s="126"/>
      <c r="BC5" s="692"/>
      <c r="BE5" s="692"/>
      <c r="BG5" s="692"/>
      <c r="BU5" s="692"/>
      <c r="BW5" s="692"/>
      <c r="BY5" s="692"/>
    </row>
    <row r="6" spans="1:77" s="126" customFormat="1" ht="28.5" customHeight="1">
      <c r="A6" s="775"/>
      <c r="B6" s="928"/>
      <c r="C6" s="929" t="s">
        <v>2456</v>
      </c>
      <c r="D6" s="929">
        <v>1</v>
      </c>
      <c r="E6" s="929" t="str">
        <f>IF(pb_status=-1,"Edit",IF(pb_status=1,"Issue",IF(pb_status=2,"Fullfilied",IF(pb_status=3,"Partial",1))))</f>
        <v>Issue</v>
      </c>
      <c r="F6" s="930"/>
      <c r="G6" s="904"/>
      <c r="H6" s="904"/>
      <c r="I6" s="1314"/>
      <c r="J6" s="1434" t="s">
        <v>59</v>
      </c>
      <c r="K6" s="1579" t="s">
        <v>851</v>
      </c>
      <c r="L6" s="1580"/>
      <c r="M6" s="1434" t="s">
        <v>126</v>
      </c>
      <c r="N6" s="1434" t="s">
        <v>180</v>
      </c>
      <c r="O6" s="1434" t="s">
        <v>1951</v>
      </c>
      <c r="P6" s="1434" t="s">
        <v>2436</v>
      </c>
      <c r="Q6" s="1435" t="s">
        <v>844</v>
      </c>
      <c r="R6" s="1435" t="s">
        <v>841</v>
      </c>
      <c r="S6" s="1436" t="str">
        <f>"ថ្លៃដើម"&amp;IF(pb_branch="",""," ("&amp;pb_currency_symbol&amp;")")</f>
        <v>ថ្លៃដើម ($)</v>
      </c>
      <c r="T6" s="1319"/>
      <c r="U6" s="1437"/>
      <c r="V6" s="1579" t="str">
        <f>"បញ្ចុះតម្លៃ"&amp;IF(pb_branch="",""," ("&amp;pb_currency_symbol&amp;")")</f>
        <v>បញ្ចុះតម្លៃ ($)</v>
      </c>
      <c r="W6" s="1580"/>
      <c r="X6" s="1579" t="str">
        <f>"សរុបតម្លៃ"&amp;IF(pb_branch="",""," ("&amp;pb_currency_symbol&amp;")")</f>
        <v>សរុបតម្លៃ ($)</v>
      </c>
      <c r="Y6" s="1580"/>
      <c r="Z6" s="962" t="s">
        <v>1761</v>
      </c>
      <c r="AA6" s="962" t="s">
        <v>2349</v>
      </c>
      <c r="AB6" s="962" t="s">
        <v>58</v>
      </c>
      <c r="AC6" s="962" t="s">
        <v>2362</v>
      </c>
      <c r="AD6" s="962" t="s">
        <v>369</v>
      </c>
      <c r="AE6" s="962" t="s">
        <v>2350</v>
      </c>
      <c r="AF6" s="962" t="s">
        <v>2351</v>
      </c>
      <c r="AG6" s="962" t="s">
        <v>2566</v>
      </c>
      <c r="AH6" s="962" t="s">
        <v>2581</v>
      </c>
      <c r="AI6" s="962" t="s">
        <v>2463</v>
      </c>
      <c r="AJ6" s="962" t="s">
        <v>2435</v>
      </c>
      <c r="AK6" s="962" t="s">
        <v>2352</v>
      </c>
      <c r="AL6" s="962" t="s">
        <v>2353</v>
      </c>
      <c r="AM6" s="962" t="s">
        <v>2354</v>
      </c>
      <c r="AN6" s="962" t="s">
        <v>2355</v>
      </c>
      <c r="AO6" s="962" t="s">
        <v>2357</v>
      </c>
      <c r="BC6" s="185"/>
      <c r="BE6" s="185"/>
      <c r="BG6" s="185"/>
      <c r="BU6" s="185"/>
      <c r="BW6" s="185"/>
      <c r="BY6" s="185"/>
    </row>
    <row r="7" spans="1:77" ht="19.5" customHeight="1">
      <c r="A7" s="765"/>
      <c r="B7" s="931"/>
      <c r="C7" s="932"/>
      <c r="D7" s="932"/>
      <c r="E7" s="932"/>
      <c r="F7" s="933"/>
      <c r="G7" s="213"/>
      <c r="I7" s="426" t="s">
        <v>2264</v>
      </c>
      <c r="J7" s="1438" t="s">
        <v>10</v>
      </c>
      <c r="K7" s="1443" t="s">
        <v>132</v>
      </c>
      <c r="L7" s="1444"/>
      <c r="M7" s="1438" t="s">
        <v>122</v>
      </c>
      <c r="N7" s="1438" t="s">
        <v>93</v>
      </c>
      <c r="O7" s="1438" t="s">
        <v>836</v>
      </c>
      <c r="P7" s="1438" t="s">
        <v>2437</v>
      </c>
      <c r="Q7" s="1439" t="s">
        <v>2579</v>
      </c>
      <c r="R7" s="1439" t="s">
        <v>577</v>
      </c>
      <c r="S7" s="1440" t="s">
        <v>2465</v>
      </c>
      <c r="T7" s="1442"/>
      <c r="U7" s="1441" t="s">
        <v>2473</v>
      </c>
      <c r="V7" s="1574" t="s">
        <v>113</v>
      </c>
      <c r="W7" s="1575"/>
      <c r="X7" s="1576" t="s">
        <v>2460</v>
      </c>
      <c r="Y7" s="1575"/>
      <c r="Z7" s="963" t="s">
        <v>403</v>
      </c>
      <c r="AA7" s="963" t="s">
        <v>2358</v>
      </c>
      <c r="AB7" s="963" t="s">
        <v>2461</v>
      </c>
      <c r="AC7" s="963" t="s">
        <v>2378</v>
      </c>
      <c r="AD7" s="963" t="s">
        <v>822</v>
      </c>
      <c r="AE7" s="963" t="s">
        <v>845</v>
      </c>
      <c r="AF7" s="963" t="s">
        <v>846</v>
      </c>
      <c r="AG7" s="963" t="s">
        <v>2565</v>
      </c>
      <c r="AH7" s="963" t="s">
        <v>2568</v>
      </c>
      <c r="AI7" s="963" t="s">
        <v>2462</v>
      </c>
      <c r="AJ7" s="963" t="s">
        <v>2434</v>
      </c>
      <c r="AK7" s="963" t="s">
        <v>1816</v>
      </c>
      <c r="AL7" s="963" t="s">
        <v>2359</v>
      </c>
      <c r="AM7" s="963" t="s">
        <v>2360</v>
      </c>
      <c r="AN7" s="963" t="s">
        <v>2361</v>
      </c>
      <c r="AO7" s="963" t="s">
        <v>2356</v>
      </c>
      <c r="AP7" s="126" t="s">
        <v>2618</v>
      </c>
      <c r="AQ7" s="126" t="s">
        <v>2619</v>
      </c>
      <c r="AR7" s="1473" t="s">
        <v>845</v>
      </c>
      <c r="AS7" s="126" t="s">
        <v>2565</v>
      </c>
      <c r="AU7" s="126"/>
      <c r="AV7" s="126"/>
      <c r="AW7" s="126"/>
    </row>
    <row r="8" spans="1:77" ht="27" customHeight="1">
      <c r="A8" s="765"/>
      <c r="B8" s="934"/>
      <c r="C8" s="935" t="s">
        <v>2455</v>
      </c>
      <c r="D8" s="1210"/>
      <c r="E8" s="936" t="s">
        <v>1945</v>
      </c>
      <c r="F8" s="1199">
        <f>COUNTIFS([1]PurchaseBill!AM8:AM10000,"&gt;0")</f>
        <v>2</v>
      </c>
      <c r="G8" s="905"/>
      <c r="H8" s="905"/>
      <c r="I8" s="426">
        <f>IF(M8="","",MID(M8,1,5)*1)</f>
        <v>1</v>
      </c>
      <c r="J8" s="1419">
        <f>IF(M8="","",1)</f>
        <v>1</v>
      </c>
      <c r="K8" s="1452" t="str">
        <f>IF(M8="","",VLOOKUP(I8,product_list,2,FALSE))</f>
        <v>KS01</v>
      </c>
      <c r="L8" s="1453"/>
      <c r="M8" s="1420" t="s">
        <v>2607</v>
      </c>
      <c r="N8" s="1322">
        <v>2</v>
      </c>
      <c r="O8" s="1322"/>
      <c r="P8" s="1413" t="s">
        <v>2344</v>
      </c>
      <c r="Q8" s="1414"/>
      <c r="R8" s="1421"/>
      <c r="S8" s="1323" t="str">
        <f>IF(M8="","",pb_currency_symbol)</f>
        <v>$</v>
      </c>
      <c r="T8" s="1422"/>
      <c r="U8" s="1423">
        <f t="shared" ref="U8:U39" si="0">IF(M8="","",IF(P8=AK8,AC8,IF(P8=AL8,ROUND(AC8/Z8,9),IF(P8=AM8,ROUND(AC8/AA8,9)))))</f>
        <v>18</v>
      </c>
      <c r="V8" s="1323" t="str">
        <f t="shared" ref="V8" si="1">IF(W8=0,"",pb_currency_symbol)</f>
        <v/>
      </c>
      <c r="W8" s="1425"/>
      <c r="X8" s="1427" t="str">
        <f t="shared" ref="X8" si="2">IF(M8="","",pb_currency_symbol)</f>
        <v>$</v>
      </c>
      <c r="Y8" s="1326">
        <f>IF(M8="","",IF(T8&gt;0,(N8)*T8-W8,(N8)*U8-W8))</f>
        <v>36</v>
      </c>
      <c r="Z8" s="1426" cm="1">
        <f t="array" ref="Z8">IF(M8="","",IF(P8=AK8,1,Slookup(MID(AK8,1,3)*1,UomConversion!$D$8:$J$500,5,UomConversion!$E$8:$E$500,MID(P8,1,3)*1,UomConversion!$J$8:$J$500,1)))</f>
        <v>1</v>
      </c>
      <c r="AA8" s="1414">
        <f t="shared" ref="AA8" si="3">IF(AND(M8="",ISNA(VLOOKUP(I8,product_list,19,FALSE))),"",VLOOKUP(I8,product_list,19,FALSE))</f>
        <v>72</v>
      </c>
      <c r="AB8" s="1416">
        <f>IF(M8="","",W8)</f>
        <v>0</v>
      </c>
      <c r="AC8" s="1417">
        <f t="shared" ref="AC8" si="4">IF(M8="","",VLOOKUP(I8,product_list,12,FALSE))</f>
        <v>18</v>
      </c>
      <c r="AD8" s="1418">
        <f t="shared" ref="AD8" si="5">IF(M8="","",VLOOKUP(I8,product_list,20,FALSE))</f>
        <v>1</v>
      </c>
      <c r="AE8" s="1414">
        <f>IF(I8="","",IF(ISNA(MATCH(I8,IF(pb_location_id=1,'[1]1_inventory_totals'!$C$8:$C$10000,IF(pb_location_id=2,'[1]2_inventory_totals'!$C$8:$C$10000,"")),0)),0,IF(AR8&gt;0,1,0)))</f>
        <v>1</v>
      </c>
      <c r="AF8" s="1414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216</v>
      </c>
      <c r="AG8" s="1414">
        <f>IF(M8="","",IF(ISNA(MATCH(I8,'[1]1_group_totals'!$C$8:$C$10000)),0,IF(AS8&gt;0,1,0)))</f>
        <v>1</v>
      </c>
      <c r="AH8" s="1414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216</v>
      </c>
      <c r="AI8" s="1414">
        <f ca="1">IF(M8="","",IF(AJ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0</v>
      </c>
      <c r="AJ8" s="1414">
        <f ca="1">IF(M8="","",SUMIFS('1_group_totals'!$J$8:$J$10000,'[1]1_group_totals'!$C$8:$C$10000,I8,'1_group_totals'!$F$8:$F$10000,pb_location_group_id,'[1]1_group_totals'!$G$8:$G$10000,pb_location_id,'[1]1_group_totals'!$H$8:$H$10000,"="&amp;Q8,'[1]1_group_totals'!$I$8:$I$10000,"="&amp;R8))</f>
        <v>0</v>
      </c>
      <c r="AK8" s="1414" t="str">
        <f t="shared" ref="AK8" si="6">IF(M8="","",VLOOKUP(I8,product_list,11,FALSE))</f>
        <v>014.Case/6boxs</v>
      </c>
      <c r="AL8" s="1414" t="str">
        <f>IF(OR(ISNA(MATCH(MID(AK8,1,3)*1,UomConversion!$D$8:$D$500,0)),M8=""),"",IF(AP8="","",AP8))</f>
        <v>009.Box</v>
      </c>
      <c r="AM8" s="1414" t="str">
        <f>IF(AND(AN8&gt;0,COUNTIFS(UomConversion!$D$8:$D$500,MID(AK8,1,3)*1,UomConversion!$J$8:$J$500,1)&gt;1),TEXT(AN8,"000")&amp;"."&amp;VLOOKUP(AN8,uom_list,4,FALSE),"")</f>
        <v>002.PCS</v>
      </c>
      <c r="AN8" s="1414">
        <f>IF(AND(AQ8&gt;0,M8&lt;&gt;""),AQ8,"")</f>
        <v>2</v>
      </c>
      <c r="AO8" s="1414">
        <f>IF(M8="","",IF(Z8&gt;0,AA8/Z8,""))</f>
        <v>72</v>
      </c>
      <c r="AP8" s="126" t="str">
        <f t="shared" ref="AP8" si="7">IF(OR(ISNA(VLOOKUP(MID(AK8,1,3)*1,uom_converion_list,2,FALSE)),M8=""),"",TEXT(VLOOKUP(MID(AK8,1,3)*1,uom_converion_list,2,FALSE),"000")&amp;"."&amp;VLOOKUP(VLOOKUP(MID(AK8,1,3)*1,uom_converion_list,2,FALSE),uom_list,4,FALSE))</f>
        <v>009.Box</v>
      </c>
      <c r="AQ8" s="126" cm="1">
        <f t="array" ref="AQ8">IF(M8="","",IF(ISNA(Slookup(MID(AK8,1,3)*1,UomConversion!$D$8:$J$500,2,UomConversion!$I$8:$I$500,1,UomConversion!$J$8:$J$500,1)),"",Slookup(MID(AK8,1,3)*1,UomConversion!$D$8:$J$500,2,UomConversion!$I$8:$I$500,1,UomConversion!$J$8:$J$500,1)))</f>
        <v>2</v>
      </c>
      <c r="AR8" s="13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1010</v>
      </c>
      <c r="AS8" s="126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1010</v>
      </c>
    </row>
    <row r="9" spans="1:77" ht="27" customHeight="1">
      <c r="A9" s="765"/>
      <c r="B9" s="931"/>
      <c r="C9" s="937">
        <v>46185</v>
      </c>
      <c r="D9" s="1211">
        <f>IFERROR(IF(pb_date="","",IF(AND(DAY(pb_date)&gt;0,DAY(pb_date)&lt;8),1,IF(AND(DAY(pb_date)&gt;7,DAY(pb_date)&lt;15),2,IF(AND(DAY(pb_date)&gt;14,DAY(pb_date)&lt;22),3,IF(AND(DAY(pb_date)&gt;21,DAY(pb_date)&lt;32),4,""))))),"")</f>
        <v>2</v>
      </c>
      <c r="E9" s="938" t="str">
        <f>RIGHT(YEAR(C9),2)&amp;"PB"&amp;TEXT(pb_no,"000000")</f>
        <v>26PB000003</v>
      </c>
      <c r="F9" s="1200">
        <f>COUNTIFS([1]PurchaseBill!AM8:AM10000,"&gt;0")+1</f>
        <v>3</v>
      </c>
      <c r="G9" s="213"/>
      <c r="I9" s="426" t="str">
        <f t="shared" ref="I9:I72" si="8">IF(M9="","",MID(M9,1,5)*1)</f>
        <v/>
      </c>
      <c r="J9" s="1419" t="str">
        <f>IF(M9="","",J8+1)</f>
        <v/>
      </c>
      <c r="K9" s="1452" t="str">
        <f t="shared" ref="K9:K72" si="9">IF(M9="","",VLOOKUP(I9,product_list,2,FALSE))</f>
        <v/>
      </c>
      <c r="L9" s="1453"/>
      <c r="M9" s="1420"/>
      <c r="N9" s="1322"/>
      <c r="O9" s="1322"/>
      <c r="P9" s="1413"/>
      <c r="Q9" s="1414"/>
      <c r="R9" s="1415"/>
      <c r="S9" s="1323" t="str">
        <f t="shared" ref="S9" si="10">IF(M9="","",pb_currency_symbol)</f>
        <v/>
      </c>
      <c r="T9" s="1422"/>
      <c r="U9" s="1324" t="str">
        <f t="shared" si="0"/>
        <v/>
      </c>
      <c r="V9" s="1323" t="str">
        <f t="shared" ref="V9" si="11">IF(W9=0,"",pb_currency_symbol)</f>
        <v/>
      </c>
      <c r="W9" s="1424"/>
      <c r="X9" s="1427" t="str">
        <f t="shared" ref="X9" si="12">IF(M9="","",pb_currency_symbol)</f>
        <v/>
      </c>
      <c r="Y9" s="1326" t="str">
        <f t="shared" ref="Y9:Y72" si="13">IF(M9="","",IF(T9&gt;0,(N9)*T9-W9,(N9)*U9-W9))</f>
        <v/>
      </c>
      <c r="Z9" s="1426" t="str" cm="1">
        <f t="array" ref="Z9">IF(M9="","",IF(P9=AK9,1,Slookup(MID(AK9,1,3)*1,UomConversion!$D$8:$J$500,5,UomConversion!$E$8:$E$500,MID(P9,1,3)*1,UomConversion!$J$8:$J$500,1)))</f>
        <v/>
      </c>
      <c r="AA9" s="1414" t="str">
        <f t="shared" ref="AA9:AA72" si="14">IF(AND(M9="",ISNA(VLOOKUP(I9,product_list,19,FALSE))),"",VLOOKUP(I9,product_list,19,FALSE))</f>
        <v/>
      </c>
      <c r="AB9" s="1416" t="str">
        <f t="shared" ref="AB9:AB72" si="15">IF(M9="","",W9)</f>
        <v/>
      </c>
      <c r="AC9" s="1417" t="str">
        <f t="shared" ref="AC9:AC72" si="16">IF(M9="","",VLOOKUP(I9,product_list,12,FALSE))</f>
        <v/>
      </c>
      <c r="AD9" s="1418" t="str">
        <f t="shared" ref="AD9:AD72" si="17">IF(M9="","",VLOOKUP(I9,product_list,20,FALSE))</f>
        <v/>
      </c>
      <c r="AE9" s="1414" t="str">
        <f>IF(I9="","",IF(ISNA(MATCH(I9,IF(pb_location_id=1,'[1]1_inventory_totals'!$C$8:$C$10000,IF(pb_location_id=2,'[1]2_inventory_totals'!$C$8:$C$10000,"")),0)),0,IF(AR9&gt;0,1,0)))</f>
        <v/>
      </c>
      <c r="AF9" s="1414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G9" s="1414" t="str">
        <f>IF(M9="","",IF(ISNA(MATCH(I9,'[1]1_group_totals'!$C$8:$C$10000)),0,IF(AS9&gt;0,1,0)))</f>
        <v/>
      </c>
      <c r="AH9" s="1414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I9" s="1414" t="str">
        <f>IF(M9="","",IF(AJ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J9" s="1414" t="str">
        <f>IF(M9="","",SUMIFS('1_group_totals'!$J$8:$J$10000,'[1]1_group_totals'!$C$8:$C$10000,I9,'1_group_totals'!$F$8:$F$10000,pb_location_group_id,'[1]1_group_totals'!$G$8:$G$10000,pb_location_id,'[1]1_group_totals'!$H$8:$H$10000,"="&amp;Q9,'[1]1_group_totals'!$I$8:$I$10000,"="&amp;R9))</f>
        <v/>
      </c>
      <c r="AK9" s="1414" t="str">
        <f t="shared" ref="AK9:AK72" si="18">IF(M9="","",VLOOKUP(I9,product_list,11,FALSE))</f>
        <v/>
      </c>
      <c r="AL9" s="1414" t="str">
        <f>IF(OR(ISNA(MATCH(MID(AK9,1,3)*1,UomConversion!$D$8:$D$500,0)),M9=""),"",IF(AP9="","",AP9))</f>
        <v/>
      </c>
      <c r="AM9" s="1414" t="str">
        <f>IF(AND(AN9&gt;0,COUNTIFS(UomConversion!$D$8:$D$500,MID(AK9,1,3)*1,UomConversion!$J$8:$J$500,1)&gt;1),TEXT(AN9,"000")&amp;"."&amp;VLOOKUP(AN9,uom_list,4,FALSE),"")</f>
        <v/>
      </c>
      <c r="AN9" s="1414" t="str">
        <f t="shared" ref="AN9:AN72" si="19">IF(AND(AQ9&gt;0,M9&lt;&gt;""),AQ9,"")</f>
        <v/>
      </c>
      <c r="AO9" s="1414" t="str">
        <f t="shared" ref="AO9:AO72" si="20">IF(M9="","",IF(Z9&gt;0,AA9/Z9,""))</f>
        <v/>
      </c>
      <c r="AP9" s="126" t="str">
        <f t="shared" ref="AP9:AP72" si="21">IF(OR(ISNA(VLOOKUP(MID(AK9,1,3)*1,uom_converion_list,2,FALSE)),M9=""),"",TEXT(VLOOKUP(MID(AK9,1,3)*1,uom_converion_list,2,FALSE),"000")&amp;"."&amp;VLOOKUP(VLOOKUP(MID(AK9,1,3)*1,uom_converion_list,2,FALSE),uom_list,4,FALSE))</f>
        <v/>
      </c>
      <c r="AQ9" s="126" t="str" cm="1">
        <f t="array" ref="AQ9">IF(M9="","",IF(ISNA(Slookup(MID(AK9,1,3)*1,UomConversion!$D$8:$J$500,2,UomConversion!$I$8:$I$500,1,UomConversion!$J$8:$J$500,1)),"",Slookup(MID(AK9,1,3)*1,UomConversion!$D$8:$J$500,2,UomConversion!$I$8:$I$500,1,UomConversion!$J$8:$J$500,1)))</f>
        <v/>
      </c>
      <c r="AR9" s="13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S9" s="126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7" ht="27" customHeight="1">
      <c r="A10" s="765"/>
      <c r="B10" s="931"/>
      <c r="C10" s="945" t="s">
        <v>2454</v>
      </c>
      <c r="D10" s="1201"/>
      <c r="E10" s="945" t="s">
        <v>2582</v>
      </c>
      <c r="F10" s="1212" t="str">
        <f>IF(ISNA(MATCH(pb_no*1,SaleInvoiceData!C6:C10000,0)),"not exist","exist")</f>
        <v>not exist</v>
      </c>
      <c r="I10" s="426" t="str">
        <f t="shared" si="8"/>
        <v/>
      </c>
      <c r="J10" s="1412" t="str">
        <f t="shared" ref="J10:J73" si="22">IF(M10="","",J9+1)</f>
        <v/>
      </c>
      <c r="K10" s="1320" t="str">
        <f t="shared" si="9"/>
        <v/>
      </c>
      <c r="L10" s="1321"/>
      <c r="M10" s="1413"/>
      <c r="N10" s="1322"/>
      <c r="O10" s="1322"/>
      <c r="P10" s="1413"/>
      <c r="Q10" s="1414"/>
      <c r="R10" s="1415"/>
      <c r="S10" s="1323" t="str">
        <f t="shared" ref="S10" si="23">IF(M10="","",pb_currency_symbol)</f>
        <v/>
      </c>
      <c r="T10" s="1422"/>
      <c r="U10" s="1324" t="str">
        <f t="shared" si="0"/>
        <v/>
      </c>
      <c r="V10" s="1323" t="str">
        <f t="shared" ref="V10" si="24">IF(W10=0,"",pb_currency_symbol)</f>
        <v/>
      </c>
      <c r="W10" s="1424"/>
      <c r="X10" s="1427" t="str">
        <f t="shared" ref="X10" si="25">IF(M10="","",pb_currency_symbol)</f>
        <v/>
      </c>
      <c r="Y10" s="1326" t="str">
        <f t="shared" si="13"/>
        <v/>
      </c>
      <c r="Z10" s="1426" t="str" cm="1">
        <f t="array" ref="Z10">IF(M10="","",IF(P10=AK10,1,Slookup(MID(AK10,1,3)*1,UomConversion!$D$8:$J$500,5,UomConversion!$E$8:$E$500,MID(P10,1,3)*1,UomConversion!$J$8:$J$500,1)))</f>
        <v/>
      </c>
      <c r="AA10" s="1414" t="str">
        <f t="shared" si="14"/>
        <v/>
      </c>
      <c r="AB10" s="1416" t="str">
        <f t="shared" si="15"/>
        <v/>
      </c>
      <c r="AC10" s="1417" t="str">
        <f t="shared" si="16"/>
        <v/>
      </c>
      <c r="AD10" s="1418" t="str">
        <f t="shared" si="17"/>
        <v/>
      </c>
      <c r="AE10" s="1414" t="str">
        <f>IF(I10="","",IF(ISNA(MATCH(I10,IF(pb_location_id=1,'[1]1_inventory_totals'!$C$8:$C$10000,IF(pb_location_id=2,'[1]2_inventory_totals'!$C$8:$C$10000,"")),0)),0,IF(AR10&gt;0,1,0)))</f>
        <v/>
      </c>
      <c r="AF10" s="1414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G10" s="1414" t="str">
        <f>IF(M10="","",IF(ISNA(MATCH(I10,'[1]1_group_totals'!$C$8:$C$10000)),0,IF(AS10&gt;0,1,0)))</f>
        <v/>
      </c>
      <c r="AH10" s="1414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I10" s="1414" t="str">
        <f>IF(M10="","",IF(AJ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J10" s="1414" t="str">
        <f>IF(M10="","",SUMIFS('1_group_totals'!$J$8:$J$10000,'[1]1_group_totals'!$C$8:$C$10000,I10,'1_group_totals'!$F$8:$F$10000,pb_location_group_id,'[1]1_group_totals'!$G$8:$G$10000,pb_location_id,'[1]1_group_totals'!$H$8:$H$10000,"="&amp;Q10,'[1]1_group_totals'!$I$8:$I$10000,"="&amp;R10))</f>
        <v/>
      </c>
      <c r="AK10" s="1414" t="str">
        <f t="shared" si="18"/>
        <v/>
      </c>
      <c r="AL10" s="1414" t="str">
        <f>IF(OR(ISNA(MATCH(MID(AK10,1,3)*1,UomConversion!$D$8:$D$500,0)),M10=""),"",IF(AP10="","",AP10))</f>
        <v/>
      </c>
      <c r="AM10" s="1414" t="str">
        <f>IF(AND(AN10&gt;0,COUNTIFS(UomConversion!$D$8:$D$500,MID(AK10,1,3)*1,UomConversion!$J$8:$J$500,1)&gt;1),TEXT(AN10,"000")&amp;"."&amp;VLOOKUP(AN10,uom_list,4,FALSE),"")</f>
        <v/>
      </c>
      <c r="AN10" s="1414" t="str">
        <f t="shared" si="19"/>
        <v/>
      </c>
      <c r="AO10" s="1414" t="str">
        <f t="shared" si="20"/>
        <v/>
      </c>
      <c r="AP10" s="126" t="str">
        <f t="shared" si="21"/>
        <v/>
      </c>
      <c r="AQ10" s="126" t="str" cm="1">
        <f t="array" ref="AQ10">IF(M10="","",IF(ISNA(Slookup(MID(AK10,1,3)*1,UomConversion!$D$8:$J$500,2,UomConversion!$I$8:$I$500,1,UomConversion!$J$8:$J$500,1)),"",Slookup(MID(AK10,1,3)*1,UomConversion!$D$8:$J$500,2,UomConversion!$I$8:$I$500,1,UomConversion!$J$8:$J$500,1)))</f>
        <v/>
      </c>
      <c r="AR10" s="13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S10" s="126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7" ht="27" customHeight="1">
      <c r="A11" s="765"/>
      <c r="B11" s="931"/>
      <c r="C11" s="943" t="s">
        <v>2523</v>
      </c>
      <c r="D11" s="1217">
        <f>IF(pb_vendor="","",MID(pb_vendor,1,3)*1)</f>
        <v>1</v>
      </c>
      <c r="E11" s="1407" t="s">
        <v>2578</v>
      </c>
      <c r="F11" s="1213">
        <f>MID(E11,1,3)*1</f>
        <v>1</v>
      </c>
      <c r="G11" s="213"/>
      <c r="I11" s="426" t="str">
        <f t="shared" si="8"/>
        <v/>
      </c>
      <c r="J11" s="1412" t="str">
        <f t="shared" si="22"/>
        <v/>
      </c>
      <c r="K11" s="1320" t="str">
        <f t="shared" si="9"/>
        <v/>
      </c>
      <c r="L11" s="1321"/>
      <c r="M11" s="1413"/>
      <c r="N11" s="1322"/>
      <c r="O11" s="1322"/>
      <c r="P11" s="1413"/>
      <c r="Q11" s="1414"/>
      <c r="R11" s="1415"/>
      <c r="S11" s="1323" t="str">
        <f t="shared" ref="S11" si="26">IF(M11="","",pb_currency_symbol)</f>
        <v/>
      </c>
      <c r="T11" s="1422"/>
      <c r="U11" s="1324" t="str">
        <f t="shared" si="0"/>
        <v/>
      </c>
      <c r="V11" s="1323" t="str">
        <f t="shared" ref="V11" si="27">IF(W11=0,"",pb_currency_symbol)</f>
        <v/>
      </c>
      <c r="W11" s="1424"/>
      <c r="X11" s="1427" t="str">
        <f t="shared" ref="X11" si="28">IF(M11="","",pb_currency_symbol)</f>
        <v/>
      </c>
      <c r="Y11" s="1326" t="str">
        <f t="shared" si="13"/>
        <v/>
      </c>
      <c r="Z11" s="1426" t="str" cm="1">
        <f t="array" ref="Z11">IF(M11="","",IF(P11=AK11,1,Slookup(MID(AK11,1,3)*1,UomConversion!$D$8:$J$500,5,UomConversion!$E$8:$E$500,MID(P11,1,3)*1,UomConversion!$J$8:$J$500,1)))</f>
        <v/>
      </c>
      <c r="AA11" s="1414" t="str">
        <f t="shared" si="14"/>
        <v/>
      </c>
      <c r="AB11" s="1416" t="str">
        <f t="shared" si="15"/>
        <v/>
      </c>
      <c r="AC11" s="1417" t="str">
        <f t="shared" si="16"/>
        <v/>
      </c>
      <c r="AD11" s="1418" t="str">
        <f t="shared" si="17"/>
        <v/>
      </c>
      <c r="AE11" s="1414" t="str">
        <f>IF(I11="","",IF(ISNA(MATCH(I11,IF(pb_location_id=1,'[1]1_inventory_totals'!$C$8:$C$10000,IF(pb_location_id=2,'[1]2_inventory_totals'!$C$8:$C$10000,"")),0)),0,IF(AR11&gt;0,1,0)))</f>
        <v/>
      </c>
      <c r="AF11" s="1414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G11" s="1414" t="str">
        <f>IF(M11="","",IF(ISNA(MATCH(I11,'[1]1_group_totals'!$C$8:$C$10000)),0,IF(AS11&gt;0,1,0)))</f>
        <v/>
      </c>
      <c r="AH11" s="1414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I11" s="1414" t="str">
        <f>IF(M11="","",IF(AJ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J11" s="1414" t="str">
        <f>IF(M11="","",SUMIFS('1_group_totals'!$J$8:$J$10000,'[1]1_group_totals'!$C$8:$C$10000,I11,'1_group_totals'!$F$8:$F$10000,pb_location_group_id,'[1]1_group_totals'!$G$8:$G$10000,pb_location_id,'[1]1_group_totals'!$H$8:$H$10000,"="&amp;Q11,'[1]1_group_totals'!$I$8:$I$10000,"="&amp;R11))</f>
        <v/>
      </c>
      <c r="AK11" s="1414" t="str">
        <f t="shared" si="18"/>
        <v/>
      </c>
      <c r="AL11" s="1414" t="str">
        <f>IF(OR(ISNA(MATCH(MID(AK11,1,3)*1,UomConversion!$D$8:$D$500,0)),M11=""),"",IF(AP11="","",AP11))</f>
        <v/>
      </c>
      <c r="AM11" s="1414" t="str">
        <f>IF(AND(AN11&gt;0,COUNTIFS(UomConversion!$D$8:$D$500,MID(AK11,1,3)*1,UomConversion!$J$8:$J$500,1)&gt;1),TEXT(AN11,"000")&amp;"."&amp;VLOOKUP(AN11,uom_list,4,FALSE),"")</f>
        <v/>
      </c>
      <c r="AN11" s="1414" t="str">
        <f t="shared" si="19"/>
        <v/>
      </c>
      <c r="AO11" s="1414" t="str">
        <f t="shared" si="20"/>
        <v/>
      </c>
      <c r="AP11" s="126" t="str">
        <f t="shared" si="21"/>
        <v/>
      </c>
      <c r="AQ11" s="126" t="str" cm="1">
        <f t="array" ref="AQ11">IF(M11="","",IF(ISNA(Slookup(MID(AK11,1,3)*1,UomConversion!$D$8:$J$500,2,UomConversion!$I$8:$I$500,1,UomConversion!$J$8:$J$500,1)),"",Slookup(MID(AK11,1,3)*1,UomConversion!$D$8:$J$500,2,UomConversion!$I$8:$I$500,1,UomConversion!$J$8:$J$500,1)))</f>
        <v/>
      </c>
      <c r="AR11" s="13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S11" s="126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7" ht="27" customHeight="1">
      <c r="A12" s="765"/>
      <c r="B12" s="931"/>
      <c r="C12" s="945" t="s">
        <v>1829</v>
      </c>
      <c r="D12" s="1201"/>
      <c r="E12" s="945" t="s">
        <v>2583</v>
      </c>
      <c r="F12" s="1212"/>
      <c r="G12" s="213"/>
      <c r="I12" s="426" t="str">
        <f t="shared" si="8"/>
        <v/>
      </c>
      <c r="J12" s="1412" t="str">
        <f t="shared" si="22"/>
        <v/>
      </c>
      <c r="K12" s="1320" t="str">
        <f t="shared" si="9"/>
        <v/>
      </c>
      <c r="L12" s="1321"/>
      <c r="M12" s="1413"/>
      <c r="N12" s="1322"/>
      <c r="O12" s="1322"/>
      <c r="P12" s="1413"/>
      <c r="Q12" s="1414"/>
      <c r="R12" s="1415"/>
      <c r="S12" s="1323" t="str">
        <f t="shared" ref="S12" si="29">IF(M12="","",pb_currency_symbol)</f>
        <v/>
      </c>
      <c r="T12" s="1422"/>
      <c r="U12" s="1324" t="str">
        <f t="shared" si="0"/>
        <v/>
      </c>
      <c r="V12" s="1323" t="str">
        <f t="shared" ref="V12" si="30">IF(W12=0,"",pb_currency_symbol)</f>
        <v/>
      </c>
      <c r="W12" s="1424"/>
      <c r="X12" s="1427" t="str">
        <f t="shared" ref="X12" si="31">IF(M12="","",pb_currency_symbol)</f>
        <v/>
      </c>
      <c r="Y12" s="1326" t="str">
        <f t="shared" si="13"/>
        <v/>
      </c>
      <c r="Z12" s="1426" t="str" cm="1">
        <f t="array" ref="Z12">IF(M12="","",IF(P12=AK12,1,Slookup(MID(AK12,1,3)*1,UomConversion!$D$8:$J$500,5,UomConversion!$E$8:$E$500,MID(P12,1,3)*1,UomConversion!$J$8:$J$500,1)))</f>
        <v/>
      </c>
      <c r="AA12" s="1414" t="str">
        <f t="shared" si="14"/>
        <v/>
      </c>
      <c r="AB12" s="1416" t="str">
        <f t="shared" si="15"/>
        <v/>
      </c>
      <c r="AC12" s="1417" t="str">
        <f t="shared" si="16"/>
        <v/>
      </c>
      <c r="AD12" s="1418" t="str">
        <f t="shared" si="17"/>
        <v/>
      </c>
      <c r="AE12" s="1414" t="str">
        <f>IF(I12="","",IF(ISNA(MATCH(I12,IF(pb_location_id=1,'[1]1_inventory_totals'!$C$8:$C$10000,IF(pb_location_id=2,'[1]2_inventory_totals'!$C$8:$C$10000,"")),0)),0,IF(AR12&gt;0,1,0)))</f>
        <v/>
      </c>
      <c r="AF12" s="1414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G12" s="1414" t="str">
        <f>IF(M12="","",IF(ISNA(MATCH(I12,'[1]1_group_totals'!$C$8:$C$10000)),0,IF(AS12&gt;0,1,0)))</f>
        <v/>
      </c>
      <c r="AH12" s="1414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I12" s="1414" t="str">
        <f>IF(M12="","",IF(AJ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J12" s="1414" t="str">
        <f>IF(M12="","",SUMIFS('1_group_totals'!$J$8:$J$10000,'[1]1_group_totals'!$C$8:$C$10000,I12,'1_group_totals'!$F$8:$F$10000,pb_location_group_id,'[1]1_group_totals'!$G$8:$G$10000,pb_location_id,'[1]1_group_totals'!$H$8:$H$10000,"="&amp;Q12,'[1]1_group_totals'!$I$8:$I$10000,"="&amp;R12))</f>
        <v/>
      </c>
      <c r="AK12" s="1414" t="str">
        <f t="shared" si="18"/>
        <v/>
      </c>
      <c r="AL12" s="1414" t="str">
        <f>IF(OR(ISNA(MATCH(MID(AK12,1,3)*1,UomConversion!$D$8:$D$500,0)),M12=""),"",IF(AP12="","",AP12))</f>
        <v/>
      </c>
      <c r="AM12" s="1414" t="str">
        <f>IF(AND(AN12&gt;0,COUNTIFS(UomConversion!$D$8:$D$500,MID(AK12,1,3)*1,UomConversion!$J$8:$J$500,1)&gt;1),TEXT(AN12,"000")&amp;"."&amp;VLOOKUP(AN12,uom_list,4,FALSE),"")</f>
        <v/>
      </c>
      <c r="AN12" s="1414" t="str">
        <f t="shared" si="19"/>
        <v/>
      </c>
      <c r="AO12" s="1414" t="str">
        <f t="shared" si="20"/>
        <v/>
      </c>
      <c r="AP12" s="126" t="str">
        <f t="shared" si="21"/>
        <v/>
      </c>
      <c r="AQ12" s="126" t="str" cm="1">
        <f t="array" ref="AQ12">IF(M12="","",IF(ISNA(Slookup(MID(AK12,1,3)*1,UomConversion!$D$8:$J$500,2,UomConversion!$I$8:$I$500,1,UomConversion!$J$8:$J$500,1)),"",Slookup(MID(AK12,1,3)*1,UomConversion!$D$8:$J$500,2,UomConversion!$I$8:$I$500,1,UomConversion!$J$8:$J$500,1)))</f>
        <v/>
      </c>
      <c r="AR12" s="13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S12" s="126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7" ht="27" customHeight="1">
      <c r="A13" s="765"/>
      <c r="B13" s="931"/>
      <c r="C13" s="1306" t="s">
        <v>2400</v>
      </c>
      <c r="D13" s="1202">
        <f>MID(pb_branch,1,2)*1</f>
        <v>1</v>
      </c>
      <c r="E13" s="941" t="s">
        <v>2682</v>
      </c>
      <c r="F13" s="1214">
        <f>MID(pb_location,1,3)*1</f>
        <v>1</v>
      </c>
      <c r="G13" s="213"/>
      <c r="I13" s="426" t="str">
        <f t="shared" si="8"/>
        <v/>
      </c>
      <c r="J13" s="1412" t="str">
        <f t="shared" si="22"/>
        <v/>
      </c>
      <c r="K13" s="1320" t="str">
        <f t="shared" si="9"/>
        <v/>
      </c>
      <c r="L13" s="1321"/>
      <c r="M13" s="1413"/>
      <c r="N13" s="1322"/>
      <c r="O13" s="1322"/>
      <c r="P13" s="1413"/>
      <c r="Q13" s="1414"/>
      <c r="R13" s="1415"/>
      <c r="S13" s="1323" t="str">
        <f t="shared" ref="S13" si="32">IF(M13="","",pb_currency_symbol)</f>
        <v/>
      </c>
      <c r="T13" s="1422"/>
      <c r="U13" s="1324" t="str">
        <f t="shared" si="0"/>
        <v/>
      </c>
      <c r="V13" s="1323" t="str">
        <f t="shared" ref="V13" si="33">IF(W13=0,"",pb_currency_symbol)</f>
        <v/>
      </c>
      <c r="W13" s="1424"/>
      <c r="X13" s="1427" t="str">
        <f t="shared" ref="X13" si="34">IF(M13="","",pb_currency_symbol)</f>
        <v/>
      </c>
      <c r="Y13" s="1326" t="str">
        <f t="shared" si="13"/>
        <v/>
      </c>
      <c r="Z13" s="1426" t="str" cm="1">
        <f t="array" ref="Z13">IF(M13="","",IF(P13=AK13,1,Slookup(MID(AK13,1,3)*1,UomConversion!$D$8:$J$500,5,UomConversion!$E$8:$E$500,MID(P13,1,3)*1,UomConversion!$J$8:$J$500,1)))</f>
        <v/>
      </c>
      <c r="AA13" s="1414" t="str">
        <f t="shared" si="14"/>
        <v/>
      </c>
      <c r="AB13" s="1416" t="str">
        <f t="shared" si="15"/>
        <v/>
      </c>
      <c r="AC13" s="1417" t="str">
        <f t="shared" si="16"/>
        <v/>
      </c>
      <c r="AD13" s="1418" t="str">
        <f t="shared" si="17"/>
        <v/>
      </c>
      <c r="AE13" s="1414" t="str">
        <f>IF(I13="","",IF(ISNA(MATCH(I13,IF(pb_location_id=1,'[1]1_inventory_totals'!$C$8:$C$10000,IF(pb_location_id=2,'[1]2_inventory_totals'!$C$8:$C$10000,"")),0)),0,IF(AR13&gt;0,1,0)))</f>
        <v/>
      </c>
      <c r="AF13" s="1414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G13" s="1414" t="str">
        <f>IF(M13="","",IF(ISNA(MATCH(I13,'[1]1_group_totals'!$C$8:$C$10000)),0,IF(AS13&gt;0,1,0)))</f>
        <v/>
      </c>
      <c r="AH13" s="1414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I13" s="1414" t="str">
        <f>IF(M13="","",IF(AJ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J13" s="1414" t="str">
        <f>IF(M13="","",SUMIFS('1_group_totals'!$J$8:$J$10000,'[1]1_group_totals'!$C$8:$C$10000,I13,'1_group_totals'!$F$8:$F$10000,pb_location_group_id,'[1]1_group_totals'!$G$8:$G$10000,pb_location_id,'[1]1_group_totals'!$H$8:$H$10000,"="&amp;Q13,'[1]1_group_totals'!$I$8:$I$10000,"="&amp;R13))</f>
        <v/>
      </c>
      <c r="AK13" s="1414" t="str">
        <f t="shared" si="18"/>
        <v/>
      </c>
      <c r="AL13" s="1414" t="str">
        <f>IF(OR(ISNA(MATCH(MID(AK13,1,3)*1,UomConversion!$D$8:$D$500,0)),M13=""),"",IF(AP13="","",AP13))</f>
        <v/>
      </c>
      <c r="AM13" s="1414" t="str">
        <f>IF(AND(AN13&gt;0,COUNTIFS(UomConversion!$D$8:$D$500,MID(AK13,1,3)*1,UomConversion!$J$8:$J$500,1)&gt;1),TEXT(AN13,"000")&amp;"."&amp;VLOOKUP(AN13,uom_list,4,FALSE),"")</f>
        <v/>
      </c>
      <c r="AN13" s="1414" t="str">
        <f t="shared" si="19"/>
        <v/>
      </c>
      <c r="AO13" s="1414" t="str">
        <f t="shared" si="20"/>
        <v/>
      </c>
      <c r="AP13" s="126" t="str">
        <f t="shared" si="21"/>
        <v/>
      </c>
      <c r="AQ13" s="126" t="str" cm="1">
        <f t="array" ref="AQ13">IF(M13="","",IF(ISNA(Slookup(MID(AK13,1,3)*1,UomConversion!$D$8:$J$500,2,UomConversion!$I$8:$I$500,1,UomConversion!$J$8:$J$500,1)),"",Slookup(MID(AK13,1,3)*1,UomConversion!$D$8:$J$500,2,UomConversion!$I$8:$I$500,1,UomConversion!$J$8:$J$500,1)))</f>
        <v/>
      </c>
      <c r="AR13" s="13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S13" s="126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7" ht="27" customHeight="1">
      <c r="A14" s="765"/>
      <c r="B14" s="922"/>
      <c r="C14" s="945" t="s">
        <v>2457</v>
      </c>
      <c r="D14" s="1203"/>
      <c r="E14" s="945" t="s">
        <v>2458</v>
      </c>
      <c r="F14" s="1212"/>
      <c r="I14" s="426" t="str">
        <f t="shared" si="8"/>
        <v/>
      </c>
      <c r="J14" s="1412" t="str">
        <f t="shared" si="22"/>
        <v/>
      </c>
      <c r="K14" s="1320" t="str">
        <f t="shared" si="9"/>
        <v/>
      </c>
      <c r="L14" s="1321"/>
      <c r="M14" s="1413"/>
      <c r="N14" s="1322"/>
      <c r="O14" s="1322"/>
      <c r="P14" s="1413"/>
      <c r="Q14" s="1414"/>
      <c r="R14" s="1415"/>
      <c r="S14" s="1323" t="str">
        <f t="shared" ref="S14" si="35">IF(M14="","",pb_currency_symbol)</f>
        <v/>
      </c>
      <c r="T14" s="1422"/>
      <c r="U14" s="1324" t="str">
        <f t="shared" si="0"/>
        <v/>
      </c>
      <c r="V14" s="1323" t="str">
        <f t="shared" ref="V14" si="36">IF(W14=0,"",pb_currency_symbol)</f>
        <v/>
      </c>
      <c r="W14" s="1424"/>
      <c r="X14" s="1427" t="str">
        <f t="shared" ref="X14" si="37">IF(M14="","",pb_currency_symbol)</f>
        <v/>
      </c>
      <c r="Y14" s="1326" t="str">
        <f t="shared" si="13"/>
        <v/>
      </c>
      <c r="Z14" s="1426" t="str" cm="1">
        <f t="array" ref="Z14">IF(M14="","",IF(P14=AK14,1,Slookup(MID(AK14,1,3)*1,UomConversion!$D$8:$J$500,5,UomConversion!$E$8:$E$500,MID(P14,1,3)*1,UomConversion!$J$8:$J$500,1)))</f>
        <v/>
      </c>
      <c r="AA14" s="1414" t="str">
        <f t="shared" si="14"/>
        <v/>
      </c>
      <c r="AB14" s="1416" t="str">
        <f t="shared" si="15"/>
        <v/>
      </c>
      <c r="AC14" s="1417" t="str">
        <f t="shared" si="16"/>
        <v/>
      </c>
      <c r="AD14" s="1418" t="str">
        <f t="shared" si="17"/>
        <v/>
      </c>
      <c r="AE14" s="1414" t="str">
        <f>IF(I14="","",IF(ISNA(MATCH(I14,IF(pb_location_id=1,'[1]1_inventory_totals'!$C$8:$C$10000,IF(pb_location_id=2,'[1]2_inventory_totals'!$C$8:$C$10000,"")),0)),0,IF(AR14&gt;0,1,0)))</f>
        <v/>
      </c>
      <c r="AF14" s="1414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G14" s="1414" t="str">
        <f>IF(M14="","",IF(ISNA(MATCH(I14,'[1]1_group_totals'!$C$8:$C$10000)),0,IF(AS14&gt;0,1,0)))</f>
        <v/>
      </c>
      <c r="AH14" s="1414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I14" s="1414" t="str">
        <f>IF(M14="","",IF(AJ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J14" s="1414" t="str">
        <f>IF(M14="","",SUMIFS('1_group_totals'!$J$8:$J$10000,'[1]1_group_totals'!$C$8:$C$10000,I14,'1_group_totals'!$F$8:$F$10000,pb_location_group_id,'[1]1_group_totals'!$G$8:$G$10000,pb_location_id,'[1]1_group_totals'!$H$8:$H$10000,"="&amp;Q14,'[1]1_group_totals'!$I$8:$I$10000,"="&amp;R14))</f>
        <v/>
      </c>
      <c r="AK14" s="1414" t="str">
        <f t="shared" si="18"/>
        <v/>
      </c>
      <c r="AL14" s="1414" t="str">
        <f>IF(OR(ISNA(MATCH(MID(AK14,1,3)*1,UomConversion!$D$8:$D$500,0)),M14=""),"",IF(AP14="","",AP14))</f>
        <v/>
      </c>
      <c r="AM14" s="1414" t="str">
        <f>IF(AND(AN14&gt;0,COUNTIFS(UomConversion!$D$8:$D$500,MID(AK14,1,3)*1,UomConversion!$J$8:$J$500,1)&gt;1),TEXT(AN14,"000")&amp;"."&amp;VLOOKUP(AN14,uom_list,4,FALSE),"")</f>
        <v/>
      </c>
      <c r="AN14" s="1414" t="str">
        <f t="shared" si="19"/>
        <v/>
      </c>
      <c r="AO14" s="1414" t="str">
        <f t="shared" si="20"/>
        <v/>
      </c>
      <c r="AP14" s="126" t="str">
        <f t="shared" si="21"/>
        <v/>
      </c>
      <c r="AQ14" s="126" t="str" cm="1">
        <f t="array" ref="AQ14">IF(M14="","",IF(ISNA(Slookup(MID(AK14,1,3)*1,UomConversion!$D$8:$J$500,2,UomConversion!$I$8:$I$500,1,UomConversion!$J$8:$J$500,1)),"",Slookup(MID(AK14,1,3)*1,UomConversion!$D$8:$J$500,2,UomConversion!$I$8:$I$500,1,UomConversion!$J$8:$J$500,1)))</f>
        <v/>
      </c>
      <c r="AR14" s="13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S14" s="126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7" ht="27" customHeight="1">
      <c r="A15" s="765"/>
      <c r="B15" s="931"/>
      <c r="C15" s="1289" t="s">
        <v>2469</v>
      </c>
      <c r="D15" s="1204"/>
      <c r="E15" s="944" t="s">
        <v>2588</v>
      </c>
      <c r="F15" s="1212"/>
      <c r="G15" s="213"/>
      <c r="I15" s="426" t="str">
        <f t="shared" si="8"/>
        <v/>
      </c>
      <c r="J15" s="1412" t="str">
        <f t="shared" si="22"/>
        <v/>
      </c>
      <c r="K15" s="1320" t="str">
        <f t="shared" si="9"/>
        <v/>
      </c>
      <c r="L15" s="1321"/>
      <c r="M15" s="1413"/>
      <c r="N15" s="1322"/>
      <c r="O15" s="1322"/>
      <c r="P15" s="1413"/>
      <c r="Q15" s="1414"/>
      <c r="R15" s="1415"/>
      <c r="S15" s="1323" t="str">
        <f t="shared" ref="S15" si="38">IF(M15="","",pb_currency_symbol)</f>
        <v/>
      </c>
      <c r="T15" s="1422"/>
      <c r="U15" s="1324" t="str">
        <f t="shared" si="0"/>
        <v/>
      </c>
      <c r="V15" s="1323" t="str">
        <f t="shared" ref="V15" si="39">IF(W15=0,"",pb_currency_symbol)</f>
        <v/>
      </c>
      <c r="W15" s="1424"/>
      <c r="X15" s="1427" t="str">
        <f t="shared" ref="X15" si="40">IF(M15="","",pb_currency_symbol)</f>
        <v/>
      </c>
      <c r="Y15" s="1326" t="str">
        <f t="shared" si="13"/>
        <v/>
      </c>
      <c r="Z15" s="1426" t="str" cm="1">
        <f t="array" ref="Z15">IF(M15="","",IF(P15=AK15,1,Slookup(MID(AK15,1,3)*1,UomConversion!$D$8:$J$500,5,UomConversion!$E$8:$E$500,MID(P15,1,3)*1,UomConversion!$J$8:$J$500,1)))</f>
        <v/>
      </c>
      <c r="AA15" s="1414" t="str">
        <f t="shared" si="14"/>
        <v/>
      </c>
      <c r="AB15" s="1416" t="str">
        <f t="shared" si="15"/>
        <v/>
      </c>
      <c r="AC15" s="1417" t="str">
        <f t="shared" si="16"/>
        <v/>
      </c>
      <c r="AD15" s="1418" t="str">
        <f t="shared" si="17"/>
        <v/>
      </c>
      <c r="AE15" s="1414" t="str">
        <f>IF(I15="","",IF(ISNA(MATCH(I15,IF(pb_location_id=1,'[1]1_inventory_totals'!$C$8:$C$10000,IF(pb_location_id=2,'[1]2_inventory_totals'!$C$8:$C$10000,"")),0)),0,IF(AR15&gt;0,1,0)))</f>
        <v/>
      </c>
      <c r="AF15" s="1414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G15" s="1414" t="str">
        <f>IF(M15="","",IF(ISNA(MATCH(I15,'[1]1_group_totals'!$C$8:$C$10000)),0,IF(AS15&gt;0,1,0)))</f>
        <v/>
      </c>
      <c r="AH15" s="1414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I15" s="1414" t="str">
        <f>IF(M15="","",IF(AJ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J15" s="1414" t="str">
        <f>IF(M15="","",SUMIFS('1_group_totals'!$J$8:$J$10000,'[1]1_group_totals'!$C$8:$C$10000,I15,'1_group_totals'!$F$8:$F$10000,pb_location_group_id,'[1]1_group_totals'!$G$8:$G$10000,pb_location_id,'[1]1_group_totals'!$H$8:$H$10000,"="&amp;Q15,'[1]1_group_totals'!$I$8:$I$10000,"="&amp;R15))</f>
        <v/>
      </c>
      <c r="AK15" s="1414" t="str">
        <f t="shared" si="18"/>
        <v/>
      </c>
      <c r="AL15" s="1414" t="str">
        <f>IF(OR(ISNA(MATCH(MID(AK15,1,3)*1,UomConversion!$D$8:$D$500,0)),M15=""),"",IF(AP15="","",AP15))</f>
        <v/>
      </c>
      <c r="AM15" s="1414" t="str">
        <f>IF(AND(AN15&gt;0,COUNTIFS(UomConversion!$D$8:$D$500,MID(AK15,1,3)*1,UomConversion!$J$8:$J$500,1)&gt;1),TEXT(AN15,"000")&amp;"."&amp;VLOOKUP(AN15,uom_list,4,FALSE),"")</f>
        <v/>
      </c>
      <c r="AN15" s="1414" t="str">
        <f t="shared" si="19"/>
        <v/>
      </c>
      <c r="AO15" s="1414" t="str">
        <f t="shared" si="20"/>
        <v/>
      </c>
      <c r="AP15" s="126" t="str">
        <f t="shared" si="21"/>
        <v/>
      </c>
      <c r="AQ15" s="126" t="str" cm="1">
        <f t="array" ref="AQ15">IF(M15="","",IF(ISNA(Slookup(MID(AK15,1,3)*1,UomConversion!$D$8:$J$500,2,UomConversion!$I$8:$I$500,1,UomConversion!$J$8:$J$500,1)),"",Slookup(MID(AK15,1,3)*1,UomConversion!$D$8:$J$500,2,UomConversion!$I$8:$I$500,1,UomConversion!$J$8:$J$500,1)))</f>
        <v/>
      </c>
      <c r="AR15" s="13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S15" s="126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7" ht="27" customHeight="1">
      <c r="A16" s="765"/>
      <c r="B16" s="922"/>
      <c r="C16" s="945" t="s">
        <v>1825</v>
      </c>
      <c r="D16" s="1205"/>
      <c r="E16" s="945" t="s">
        <v>2459</v>
      </c>
      <c r="F16" s="1212"/>
      <c r="I16" s="426" t="str">
        <f t="shared" si="8"/>
        <v/>
      </c>
      <c r="J16" s="1412" t="str">
        <f t="shared" si="22"/>
        <v/>
      </c>
      <c r="K16" s="1320" t="str">
        <f t="shared" si="9"/>
        <v/>
      </c>
      <c r="L16" s="1321"/>
      <c r="M16" s="1413"/>
      <c r="N16" s="1322"/>
      <c r="O16" s="1322"/>
      <c r="P16" s="1413"/>
      <c r="Q16" s="1414"/>
      <c r="R16" s="1415"/>
      <c r="S16" s="1323" t="str">
        <f t="shared" ref="S16" si="41">IF(M16="","",pb_currency_symbol)</f>
        <v/>
      </c>
      <c r="T16" s="1422"/>
      <c r="U16" s="1324" t="str">
        <f t="shared" si="0"/>
        <v/>
      </c>
      <c r="V16" s="1323" t="str">
        <f t="shared" ref="V16" si="42">IF(W16=0,"",pb_currency_symbol)</f>
        <v/>
      </c>
      <c r="W16" s="1424"/>
      <c r="X16" s="1427" t="str">
        <f t="shared" ref="X16" si="43">IF(M16="","",pb_currency_symbol)</f>
        <v/>
      </c>
      <c r="Y16" s="1326" t="str">
        <f t="shared" si="13"/>
        <v/>
      </c>
      <c r="Z16" s="1426" t="str" cm="1">
        <f t="array" ref="Z16">IF(M16="","",IF(P16=AK16,1,Slookup(MID(AK16,1,3)*1,UomConversion!$D$8:$J$500,5,UomConversion!$E$8:$E$500,MID(P16,1,3)*1,UomConversion!$J$8:$J$500,1)))</f>
        <v/>
      </c>
      <c r="AA16" s="1414" t="str">
        <f t="shared" si="14"/>
        <v/>
      </c>
      <c r="AB16" s="1416" t="str">
        <f t="shared" si="15"/>
        <v/>
      </c>
      <c r="AC16" s="1417" t="str">
        <f t="shared" si="16"/>
        <v/>
      </c>
      <c r="AD16" s="1418" t="str">
        <f t="shared" si="17"/>
        <v/>
      </c>
      <c r="AE16" s="1414" t="str">
        <f>IF(I16="","",IF(ISNA(MATCH(I16,IF(pb_location_id=1,'[1]1_inventory_totals'!$C$8:$C$10000,IF(pb_location_id=2,'[1]2_inventory_totals'!$C$8:$C$10000,"")),0)),0,IF(AR16&gt;0,1,0)))</f>
        <v/>
      </c>
      <c r="AF16" s="1414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G16" s="1414" t="str">
        <f>IF(M16="","",IF(ISNA(MATCH(I16,'[1]1_group_totals'!$C$8:$C$10000)),0,IF(AS16&gt;0,1,0)))</f>
        <v/>
      </c>
      <c r="AH16" s="1414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I16" s="1414" t="str">
        <f>IF(M16="","",IF(AJ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J16" s="1414" t="str">
        <f>IF(M16="","",SUMIFS('1_group_totals'!$J$8:$J$10000,'[1]1_group_totals'!$C$8:$C$10000,I16,'1_group_totals'!$F$8:$F$10000,pb_location_group_id,'[1]1_group_totals'!$G$8:$G$10000,pb_location_id,'[1]1_group_totals'!$H$8:$H$10000,"="&amp;Q16,'[1]1_group_totals'!$I$8:$I$10000,"="&amp;R16))</f>
        <v/>
      </c>
      <c r="AK16" s="1414" t="str">
        <f t="shared" si="18"/>
        <v/>
      </c>
      <c r="AL16" s="1414" t="str">
        <f>IF(OR(ISNA(MATCH(MID(AK16,1,3)*1,UomConversion!$D$8:$D$500,0)),M16=""),"",IF(AP16="","",AP16))</f>
        <v/>
      </c>
      <c r="AM16" s="1414" t="str">
        <f>IF(AND(AN16&gt;0,COUNTIFS(UomConversion!$D$8:$D$500,MID(AK16,1,3)*1,UomConversion!$J$8:$J$500,1)&gt;1),TEXT(AN16,"000")&amp;"."&amp;VLOOKUP(AN16,uom_list,4,FALSE),"")</f>
        <v/>
      </c>
      <c r="AN16" s="1414" t="str">
        <f t="shared" si="19"/>
        <v/>
      </c>
      <c r="AO16" s="1414" t="str">
        <f t="shared" si="20"/>
        <v/>
      </c>
      <c r="AP16" s="126" t="str">
        <f t="shared" si="21"/>
        <v/>
      </c>
      <c r="AQ16" s="126" t="str" cm="1">
        <f t="array" ref="AQ16">IF(M16="","",IF(ISNA(Slookup(MID(AK16,1,3)*1,UomConversion!$D$8:$J$500,2,UomConversion!$I$8:$I$500,1,UomConversion!$J$8:$J$500,1)),"",Slookup(MID(AK16,1,3)*1,UomConversion!$D$8:$J$500,2,UomConversion!$I$8:$I$500,1,UomConversion!$J$8:$J$500,1)))</f>
        <v/>
      </c>
      <c r="AR16" s="13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S16" s="126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5" ht="27" customHeight="1">
      <c r="A17" s="765"/>
      <c r="B17" s="931"/>
      <c r="C17" s="944" t="str">
        <f>IF(pb_currency_id="","",VLOOKUP(pb_currency_id,currency_list,2,FALSE))</f>
        <v>USD - US Dollar</v>
      </c>
      <c r="D17" s="1206" t="str">
        <f>IF(pb_currency_id="","",VLOOKUP(pb_currency_id,currency_list,3,FALSE))</f>
        <v>$</v>
      </c>
      <c r="E17" s="937">
        <v>46185</v>
      </c>
      <c r="F17" s="1215"/>
      <c r="G17" s="213"/>
      <c r="I17" s="426" t="str">
        <f t="shared" si="8"/>
        <v/>
      </c>
      <c r="J17" s="1412" t="str">
        <f t="shared" si="22"/>
        <v/>
      </c>
      <c r="K17" s="1320" t="str">
        <f t="shared" si="9"/>
        <v/>
      </c>
      <c r="L17" s="1321"/>
      <c r="M17" s="1413"/>
      <c r="N17" s="1322"/>
      <c r="O17" s="1322"/>
      <c r="P17" s="1413"/>
      <c r="Q17" s="1414"/>
      <c r="R17" s="1415"/>
      <c r="S17" s="1323" t="str">
        <f t="shared" ref="S17" si="44">IF(M17="","",pb_currency_symbol)</f>
        <v/>
      </c>
      <c r="T17" s="1422"/>
      <c r="U17" s="1324" t="str">
        <f t="shared" si="0"/>
        <v/>
      </c>
      <c r="V17" s="1323" t="str">
        <f t="shared" ref="V17" si="45">IF(W17=0,"",pb_currency_symbol)</f>
        <v/>
      </c>
      <c r="W17" s="1424"/>
      <c r="X17" s="1427" t="str">
        <f t="shared" ref="X17" si="46">IF(M17="","",pb_currency_symbol)</f>
        <v/>
      </c>
      <c r="Y17" s="1326" t="str">
        <f t="shared" si="13"/>
        <v/>
      </c>
      <c r="Z17" s="1426" t="str" cm="1">
        <f t="array" ref="Z17">IF(M17="","",IF(P17=AK17,1,Slookup(MID(AK17,1,3)*1,UomConversion!$D$8:$J$500,5,UomConversion!$E$8:$E$500,MID(P17,1,3)*1,UomConversion!$J$8:$J$500,1)))</f>
        <v/>
      </c>
      <c r="AA17" s="1414" t="str">
        <f t="shared" si="14"/>
        <v/>
      </c>
      <c r="AB17" s="1416" t="str">
        <f t="shared" si="15"/>
        <v/>
      </c>
      <c r="AC17" s="1417" t="str">
        <f t="shared" si="16"/>
        <v/>
      </c>
      <c r="AD17" s="1418" t="str">
        <f t="shared" si="17"/>
        <v/>
      </c>
      <c r="AE17" s="1414" t="str">
        <f>IF(I17="","",IF(ISNA(MATCH(I17,IF(pb_location_id=1,'[1]1_inventory_totals'!$C$8:$C$10000,IF(pb_location_id=2,'[1]2_inventory_totals'!$C$8:$C$10000,"")),0)),0,IF(AR17&gt;0,1,0)))</f>
        <v/>
      </c>
      <c r="AF17" s="1414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G17" s="1414" t="str">
        <f>IF(M17="","",IF(ISNA(MATCH(I17,'[1]1_group_totals'!$C$8:$C$10000)),0,IF(AS17&gt;0,1,0)))</f>
        <v/>
      </c>
      <c r="AH17" s="1414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I17" s="1414" t="str">
        <f>IF(M17="","",IF(AJ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J17" s="1414" t="str">
        <f>IF(M17="","",SUMIFS('1_group_totals'!$J$8:$J$10000,'[1]1_group_totals'!$C$8:$C$10000,I17,'1_group_totals'!$F$8:$F$10000,pb_location_group_id,'[1]1_group_totals'!$G$8:$G$10000,pb_location_id,'[1]1_group_totals'!$H$8:$H$10000,"="&amp;Q17,'[1]1_group_totals'!$I$8:$I$10000,"="&amp;R17))</f>
        <v/>
      </c>
      <c r="AK17" s="1414" t="str">
        <f t="shared" si="18"/>
        <v/>
      </c>
      <c r="AL17" s="1414" t="str">
        <f>IF(OR(ISNA(MATCH(MID(AK17,1,3)*1,UomConversion!$D$8:$D$500,0)),M17=""),"",IF(AP17="","",AP17))</f>
        <v/>
      </c>
      <c r="AM17" s="1414" t="str">
        <f>IF(AND(AN17&gt;0,COUNTIFS(UomConversion!$D$8:$D$500,MID(AK17,1,3)*1,UomConversion!$J$8:$J$500,1)&gt;1),TEXT(AN17,"000")&amp;"."&amp;VLOOKUP(AN17,uom_list,4,FALSE),"")</f>
        <v/>
      </c>
      <c r="AN17" s="1414" t="str">
        <f t="shared" si="19"/>
        <v/>
      </c>
      <c r="AO17" s="1414" t="str">
        <f t="shared" si="20"/>
        <v/>
      </c>
      <c r="AP17" s="126" t="str">
        <f t="shared" si="21"/>
        <v/>
      </c>
      <c r="AQ17" s="126" t="str" cm="1">
        <f t="array" ref="AQ17">IF(M17="","",IF(ISNA(Slookup(MID(AK17,1,3)*1,UomConversion!$D$8:$J$500,2,UomConversion!$I$8:$I$500,1,UomConversion!$J$8:$J$500,1)),"",Slookup(MID(AK17,1,3)*1,UomConversion!$D$8:$J$500,2,UomConversion!$I$8:$I$500,1,UomConversion!$J$8:$J$500,1)))</f>
        <v/>
      </c>
      <c r="AR17" s="13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S17" s="126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5" ht="27" customHeight="1">
      <c r="A18" s="765"/>
      <c r="B18" s="931"/>
      <c r="C18" s="1211">
        <f>IF(pb_branch="","",VLOOKUP(MID(pb_branch,1,2)*1,branch_list,24,FALSE))</f>
        <v>1</v>
      </c>
      <c r="D18" s="1207"/>
      <c r="E18" s="923"/>
      <c r="F18" s="1216"/>
      <c r="G18" s="213"/>
      <c r="I18" s="426" t="str">
        <f t="shared" si="8"/>
        <v/>
      </c>
      <c r="J18" s="1412" t="str">
        <f t="shared" si="22"/>
        <v/>
      </c>
      <c r="K18" s="1320" t="str">
        <f t="shared" si="9"/>
        <v/>
      </c>
      <c r="L18" s="1321"/>
      <c r="M18" s="1413"/>
      <c r="N18" s="1322"/>
      <c r="O18" s="1322"/>
      <c r="P18" s="1413" t="str">
        <f t="shared" ref="P18:P49" si="47">IF(M18="","",AK18)</f>
        <v/>
      </c>
      <c r="Q18" s="1414"/>
      <c r="R18" s="1415"/>
      <c r="S18" s="1323" t="str">
        <f t="shared" ref="S18" si="48">IF(M18="","",pb_currency_symbol)</f>
        <v/>
      </c>
      <c r="T18" s="1422"/>
      <c r="U18" s="1324" t="str">
        <f t="shared" si="0"/>
        <v/>
      </c>
      <c r="V18" s="1323" t="str">
        <f t="shared" ref="V18" si="49">IF(W18=0,"",pb_currency_symbol)</f>
        <v/>
      </c>
      <c r="W18" s="1424"/>
      <c r="X18" s="1427" t="str">
        <f t="shared" ref="X18" si="50">IF(M18="","",pb_currency_symbol)</f>
        <v/>
      </c>
      <c r="Y18" s="1326" t="str">
        <f t="shared" si="13"/>
        <v/>
      </c>
      <c r="Z18" s="1426" t="str" cm="1">
        <f t="array" ref="Z18">IF(M18="","",IF(P18=AK18,1,Slookup(MID(AK18,1,3)*1,UomConversion!$D$8:$J$500,5,UomConversion!$E$8:$E$500,MID(P18,1,3)*1,UomConversion!$J$8:$J$500,1)))</f>
        <v/>
      </c>
      <c r="AA18" s="1414" t="str">
        <f t="shared" si="14"/>
        <v/>
      </c>
      <c r="AB18" s="1416" t="str">
        <f t="shared" si="15"/>
        <v/>
      </c>
      <c r="AC18" s="1417" t="str">
        <f t="shared" si="16"/>
        <v/>
      </c>
      <c r="AD18" s="1418" t="str">
        <f t="shared" si="17"/>
        <v/>
      </c>
      <c r="AE18" s="1414" t="str">
        <f>IF(I18="","",IF(ISNA(MATCH(I18,IF(pb_location_id=1,'[1]1_inventory_totals'!$C$8:$C$10000,IF(pb_location_id=2,'[1]2_inventory_totals'!$C$8:$C$10000,"")),0)),0,IF(AR18&gt;0,1,0)))</f>
        <v/>
      </c>
      <c r="AF18" s="1414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G18" s="1414" t="str">
        <f>IF(M18="","",IF(ISNA(MATCH(I18,'[1]1_group_totals'!$C$8:$C$10000)),0,IF(AS18&gt;0,1,0)))</f>
        <v/>
      </c>
      <c r="AH18" s="1414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I18" s="1414" t="str">
        <f>IF(M18="","",IF(AJ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J18" s="1414" t="str">
        <f>IF(M18="","",SUMIFS('1_group_totals'!$J$8:$J$10000,'[1]1_group_totals'!$C$8:$C$10000,I18,'1_group_totals'!$F$8:$F$10000,pb_location_group_id,'[1]1_group_totals'!$G$8:$G$10000,pb_location_id,'[1]1_group_totals'!$H$8:$H$10000,"="&amp;Q18,'[1]1_group_totals'!$I$8:$I$10000,"="&amp;R18))</f>
        <v/>
      </c>
      <c r="AK18" s="1414" t="str">
        <f t="shared" si="18"/>
        <v/>
      </c>
      <c r="AL18" s="1414" t="str">
        <f>IF(OR(ISNA(MATCH(MID(AK18,1,3)*1,UomConversion!$D$8:$D$500,0)),M18=""),"",IF(AP18="","",AP18))</f>
        <v/>
      </c>
      <c r="AM18" s="1414" t="str">
        <f>IF(AND(AN18&gt;0,COUNTIFS(UomConversion!$D$8:$D$500,MID(AK18,1,3)*1,UomConversion!$J$8:$J$500,1)&gt;1),TEXT(AN18,"000")&amp;"."&amp;VLOOKUP(AN18,uom_list,4,FALSE),"")</f>
        <v/>
      </c>
      <c r="AN18" s="1414" t="str">
        <f t="shared" si="19"/>
        <v/>
      </c>
      <c r="AO18" s="1414" t="str">
        <f t="shared" si="20"/>
        <v/>
      </c>
      <c r="AP18" s="126" t="str">
        <f t="shared" si="21"/>
        <v/>
      </c>
      <c r="AQ18" s="126" t="str" cm="1">
        <f t="array" ref="AQ18">IF(M18="","",IF(ISNA(Slookup(MID(AK18,1,3)*1,UomConversion!$D$8:$J$500,2,UomConversion!$I$8:$I$500,1,UomConversion!$J$8:$J$500,1)),"",Slookup(MID(AK18,1,3)*1,UomConversion!$D$8:$J$500,2,UomConversion!$I$8:$I$500,1,UomConversion!$J$8:$J$500,1)))</f>
        <v/>
      </c>
      <c r="AR18" s="13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S18" s="126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5" ht="27" customHeight="1">
      <c r="A19" s="765"/>
      <c r="B19" s="931"/>
      <c r="C19" s="945" t="s">
        <v>2167</v>
      </c>
      <c r="D19" s="1208"/>
      <c r="E19" s="945" t="s">
        <v>2427</v>
      </c>
      <c r="F19" s="1212"/>
      <c r="G19" s="213"/>
      <c r="I19" s="426" t="str">
        <f t="shared" si="8"/>
        <v/>
      </c>
      <c r="J19" s="1412" t="str">
        <f t="shared" si="22"/>
        <v/>
      </c>
      <c r="K19" s="1320" t="str">
        <f t="shared" si="9"/>
        <v/>
      </c>
      <c r="L19" s="1321"/>
      <c r="M19" s="1413"/>
      <c r="N19" s="1322"/>
      <c r="O19" s="1322"/>
      <c r="P19" s="1413" t="str">
        <f t="shared" si="47"/>
        <v/>
      </c>
      <c r="Q19" s="1414"/>
      <c r="R19" s="1415"/>
      <c r="S19" s="1323" t="str">
        <f t="shared" ref="S19" si="51">IF(M19="","",pb_currency_symbol)</f>
        <v/>
      </c>
      <c r="T19" s="1422"/>
      <c r="U19" s="1324" t="str">
        <f t="shared" si="0"/>
        <v/>
      </c>
      <c r="V19" s="1323" t="str">
        <f t="shared" ref="V19" si="52">IF(W19=0,"",pb_currency_symbol)</f>
        <v/>
      </c>
      <c r="W19" s="1424"/>
      <c r="X19" s="1427" t="str">
        <f t="shared" ref="X19" si="53">IF(M19="","",pb_currency_symbol)</f>
        <v/>
      </c>
      <c r="Y19" s="1326" t="str">
        <f t="shared" si="13"/>
        <v/>
      </c>
      <c r="Z19" s="1426" t="str" cm="1">
        <f t="array" ref="Z19">IF(M19="","",IF(P19=AK19,1,Slookup(MID(AK19,1,3)*1,UomConversion!$D$8:$J$500,5,UomConversion!$E$8:$E$500,MID(P19,1,3)*1,UomConversion!$J$8:$J$500,1)))</f>
        <v/>
      </c>
      <c r="AA19" s="1414" t="str">
        <f t="shared" si="14"/>
        <v/>
      </c>
      <c r="AB19" s="1416" t="str">
        <f t="shared" si="15"/>
        <v/>
      </c>
      <c r="AC19" s="1417" t="str">
        <f t="shared" si="16"/>
        <v/>
      </c>
      <c r="AD19" s="1418" t="str">
        <f t="shared" si="17"/>
        <v/>
      </c>
      <c r="AE19" s="1414" t="str">
        <f>IF(I19="","",IF(ISNA(MATCH(I19,IF(pb_location_id=1,'[1]1_inventory_totals'!$C$8:$C$10000,IF(pb_location_id=2,'[1]2_inventory_totals'!$C$8:$C$10000,"")),0)),0,IF(AR19&gt;0,1,0)))</f>
        <v/>
      </c>
      <c r="AF19" s="1414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G19" s="1414" t="str">
        <f>IF(M19="","",IF(ISNA(MATCH(I19,'[1]1_group_totals'!$C$8:$C$10000)),0,IF(AS19&gt;0,1,0)))</f>
        <v/>
      </c>
      <c r="AH19" s="1414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I19" s="1414" t="str">
        <f>IF(M19="","",IF(AJ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J19" s="1414" t="str">
        <f>IF(M19="","",SUMIFS('1_group_totals'!$J$8:$J$10000,'[1]1_group_totals'!$C$8:$C$10000,I19,'1_group_totals'!$F$8:$F$10000,pb_location_group_id,'[1]1_group_totals'!$G$8:$G$10000,pb_location_id,'[1]1_group_totals'!$H$8:$H$10000,"="&amp;Q19,'[1]1_group_totals'!$I$8:$I$10000,"="&amp;R19))</f>
        <v/>
      </c>
      <c r="AK19" s="1414" t="str">
        <f t="shared" si="18"/>
        <v/>
      </c>
      <c r="AL19" s="1414" t="str">
        <f>IF(OR(ISNA(MATCH(MID(AK19,1,3)*1,UomConversion!$D$8:$D$500,0)),M19=""),"",IF(AP19="","",AP19))</f>
        <v/>
      </c>
      <c r="AM19" s="1414" t="str">
        <f>IF(AND(AN19&gt;0,COUNTIFS(UomConversion!$D$8:$D$500,MID(AK19,1,3)*1,UomConversion!$J$8:$J$500,1)&gt;1),TEXT(AN19,"000")&amp;"."&amp;VLOOKUP(AN19,uom_list,4,FALSE),"")</f>
        <v/>
      </c>
      <c r="AN19" s="1414" t="str">
        <f t="shared" si="19"/>
        <v/>
      </c>
      <c r="AO19" s="1414" t="str">
        <f t="shared" si="20"/>
        <v/>
      </c>
      <c r="AP19" s="126" t="str">
        <f t="shared" si="21"/>
        <v/>
      </c>
      <c r="AQ19" s="126" t="str" cm="1">
        <f t="array" ref="AQ19">IF(M19="","",IF(ISNA(Slookup(MID(AK19,1,3)*1,UomConversion!$D$8:$J$500,2,UomConversion!$I$8:$I$500,1,UomConversion!$J$8:$J$500,1)),"",Slookup(MID(AK19,1,3)*1,UomConversion!$D$8:$J$500,2,UomConversion!$I$8:$I$500,1,UomConversion!$J$8:$J$500,1)))</f>
        <v/>
      </c>
      <c r="AR19" s="13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S19" s="126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5" ht="27" customHeight="1">
      <c r="A20" s="765"/>
      <c r="B20" s="922"/>
      <c r="C20" s="944" t="s">
        <v>2453</v>
      </c>
      <c r="D20" s="1208">
        <f>VLOOKUP(MID(C20,1,3)*1,chart_account_default_list,5,FALSE)</f>
        <v>6</v>
      </c>
      <c r="E20" s="944" t="s">
        <v>2470</v>
      </c>
      <c r="F20" s="1215">
        <f>MID(E20,1,2)*1</f>
        <v>1</v>
      </c>
      <c r="I20" s="426" t="str">
        <f t="shared" si="8"/>
        <v/>
      </c>
      <c r="J20" s="1412" t="str">
        <f t="shared" si="22"/>
        <v/>
      </c>
      <c r="K20" s="1320" t="str">
        <f t="shared" si="9"/>
        <v/>
      </c>
      <c r="L20" s="1321"/>
      <c r="M20" s="1413"/>
      <c r="N20" s="1322"/>
      <c r="O20" s="1322"/>
      <c r="P20" s="1413" t="str">
        <f t="shared" si="47"/>
        <v/>
      </c>
      <c r="Q20" s="1414"/>
      <c r="R20" s="1415"/>
      <c r="S20" s="1323" t="str">
        <f t="shared" ref="S20" si="54">IF(M20="","",pb_currency_symbol)</f>
        <v/>
      </c>
      <c r="T20" s="1422"/>
      <c r="U20" s="1324" t="str">
        <f t="shared" si="0"/>
        <v/>
      </c>
      <c r="V20" s="1323" t="str">
        <f t="shared" ref="V20" si="55">IF(W20=0,"",pb_currency_symbol)</f>
        <v/>
      </c>
      <c r="W20" s="1424"/>
      <c r="X20" s="1427" t="str">
        <f t="shared" ref="X20" si="56">IF(M20="","",pb_currency_symbol)</f>
        <v/>
      </c>
      <c r="Y20" s="1326" t="str">
        <f t="shared" si="13"/>
        <v/>
      </c>
      <c r="Z20" s="1426" t="str" cm="1">
        <f t="array" ref="Z20">IF(M20="","",IF(P20=AK20,1,Slookup(MID(AK20,1,3)*1,UomConversion!$D$8:$J$500,5,UomConversion!$E$8:$E$500,MID(P20,1,3)*1,UomConversion!$J$8:$J$500,1)))</f>
        <v/>
      </c>
      <c r="AA20" s="1414" t="str">
        <f t="shared" si="14"/>
        <v/>
      </c>
      <c r="AB20" s="1416" t="str">
        <f t="shared" si="15"/>
        <v/>
      </c>
      <c r="AC20" s="1417" t="str">
        <f t="shared" si="16"/>
        <v/>
      </c>
      <c r="AD20" s="1418" t="str">
        <f t="shared" si="17"/>
        <v/>
      </c>
      <c r="AE20" s="1414" t="str">
        <f>IF(I20="","",IF(ISNA(MATCH(I20,IF(pb_location_id=1,'[1]1_inventory_totals'!$C$8:$C$10000,IF(pb_location_id=2,'[1]2_inventory_totals'!$C$8:$C$10000,"")),0)),0,IF(AR20&gt;0,1,0)))</f>
        <v/>
      </c>
      <c r="AF20" s="1414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G20" s="1414" t="str">
        <f>IF(M20="","",IF(ISNA(MATCH(I20,'[1]1_group_totals'!$C$8:$C$10000)),0,IF(AS20&gt;0,1,0)))</f>
        <v/>
      </c>
      <c r="AH20" s="1414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I20" s="1414" t="str">
        <f>IF(M20="","",IF(AJ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J20" s="1414" t="str">
        <f>IF(M20="","",SUMIFS('1_group_totals'!$J$8:$J$10000,'[1]1_group_totals'!$C$8:$C$10000,I20,'1_group_totals'!$F$8:$F$10000,pb_location_group_id,'[1]1_group_totals'!$G$8:$G$10000,pb_location_id,'[1]1_group_totals'!$H$8:$H$10000,"="&amp;Q20,'[1]1_group_totals'!$I$8:$I$10000,"="&amp;R20))</f>
        <v/>
      </c>
      <c r="AK20" s="1414" t="str">
        <f t="shared" si="18"/>
        <v/>
      </c>
      <c r="AL20" s="1414" t="str">
        <f>IF(OR(ISNA(MATCH(MID(AK20,1,3)*1,UomConversion!$D$8:$D$500,0)),M20=""),"",IF(AP20="","",AP20))</f>
        <v/>
      </c>
      <c r="AM20" s="1414" t="str">
        <f>IF(AND(AN20&gt;0,COUNTIFS(UomConversion!$D$8:$D$500,MID(AK20,1,3)*1,UomConversion!$J$8:$J$500,1)&gt;1),TEXT(AN20,"000")&amp;"."&amp;VLOOKUP(AN20,uom_list,4,FALSE),"")</f>
        <v/>
      </c>
      <c r="AN20" s="1414" t="str">
        <f t="shared" si="19"/>
        <v/>
      </c>
      <c r="AO20" s="1414" t="str">
        <f t="shared" si="20"/>
        <v/>
      </c>
      <c r="AP20" s="126" t="str">
        <f t="shared" si="21"/>
        <v/>
      </c>
      <c r="AQ20" s="126" t="str" cm="1">
        <f t="array" ref="AQ20">IF(M20="","",IF(ISNA(Slookup(MID(AK20,1,3)*1,UomConversion!$D$8:$J$500,2,UomConversion!$I$8:$I$500,1,UomConversion!$J$8:$J$500,1)),"",Slookup(MID(AK20,1,3)*1,UomConversion!$D$8:$J$500,2,UomConversion!$I$8:$I$500,1,UomConversion!$J$8:$J$500,1)))</f>
        <v/>
      </c>
      <c r="AR20" s="13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S20" s="126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5" ht="27" customHeight="1">
      <c r="A21" s="765"/>
      <c r="B21" s="922"/>
      <c r="C21" s="945" t="s">
        <v>399</v>
      </c>
      <c r="D21" s="1209"/>
      <c r="E21" s="984"/>
      <c r="F21" s="1290">
        <f>VLOOKUP(pb_payment_term_id,payment_term_list,3,FALSE)</f>
        <v>0</v>
      </c>
      <c r="I21" s="426" t="str">
        <f t="shared" si="8"/>
        <v/>
      </c>
      <c r="J21" s="1412" t="str">
        <f t="shared" si="22"/>
        <v/>
      </c>
      <c r="K21" s="1320" t="str">
        <f t="shared" si="9"/>
        <v/>
      </c>
      <c r="L21" s="1321"/>
      <c r="M21" s="1413"/>
      <c r="N21" s="1322"/>
      <c r="O21" s="1322"/>
      <c r="P21" s="1413" t="str">
        <f t="shared" si="47"/>
        <v/>
      </c>
      <c r="Q21" s="1414"/>
      <c r="R21" s="1415"/>
      <c r="S21" s="1323" t="str">
        <f t="shared" ref="S21" si="57">IF(M21="","",pb_currency_symbol)</f>
        <v/>
      </c>
      <c r="T21" s="1422"/>
      <c r="U21" s="1324" t="str">
        <f t="shared" si="0"/>
        <v/>
      </c>
      <c r="V21" s="1323" t="str">
        <f t="shared" ref="V21" si="58">IF(W21=0,"",pb_currency_symbol)</f>
        <v/>
      </c>
      <c r="W21" s="1424"/>
      <c r="X21" s="1427" t="str">
        <f t="shared" ref="X21" si="59">IF(M21="","",pb_currency_symbol)</f>
        <v/>
      </c>
      <c r="Y21" s="1326" t="str">
        <f t="shared" si="13"/>
        <v/>
      </c>
      <c r="Z21" s="1426" t="str" cm="1">
        <f t="array" ref="Z21">IF(M21="","",IF(P21=AK21,1,Slookup(MID(AK21,1,3)*1,UomConversion!$D$8:$J$500,5,UomConversion!$E$8:$E$500,MID(P21,1,3)*1,UomConversion!$J$8:$J$500,1)))</f>
        <v/>
      </c>
      <c r="AA21" s="1414" t="str">
        <f t="shared" si="14"/>
        <v/>
      </c>
      <c r="AB21" s="1416" t="str">
        <f t="shared" si="15"/>
        <v/>
      </c>
      <c r="AC21" s="1417" t="str">
        <f t="shared" si="16"/>
        <v/>
      </c>
      <c r="AD21" s="1418" t="str">
        <f t="shared" si="17"/>
        <v/>
      </c>
      <c r="AE21" s="1414" t="str">
        <f>IF(I21="","",IF(ISNA(MATCH(I21,IF(pb_location_id=1,'[1]1_inventory_totals'!$C$8:$C$10000,IF(pb_location_id=2,'[1]2_inventory_totals'!$C$8:$C$10000,"")),0)),0,IF(AR21&gt;0,1,0)))</f>
        <v/>
      </c>
      <c r="AF21" s="1414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G21" s="1414" t="str">
        <f>IF(M21="","",IF(ISNA(MATCH(I21,'[1]1_group_totals'!$C$8:$C$10000)),0,IF(AS21&gt;0,1,0)))</f>
        <v/>
      </c>
      <c r="AH21" s="1414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I21" s="1414" t="str">
        <f>IF(M21="","",IF(AJ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J21" s="1414" t="str">
        <f>IF(M21="","",SUMIFS('1_group_totals'!$J$8:$J$10000,'[1]1_group_totals'!$C$8:$C$10000,I21,'1_group_totals'!$F$8:$F$10000,pb_location_group_id,'[1]1_group_totals'!$G$8:$G$10000,pb_location_id,'[1]1_group_totals'!$H$8:$H$10000,"="&amp;Q21,'[1]1_group_totals'!$I$8:$I$10000,"="&amp;R21))</f>
        <v/>
      </c>
      <c r="AK21" s="1414" t="str">
        <f t="shared" si="18"/>
        <v/>
      </c>
      <c r="AL21" s="1414" t="str">
        <f>IF(OR(ISNA(MATCH(MID(AK21,1,3)*1,UomConversion!$D$8:$D$500,0)),M21=""),"",IF(AP21="","",AP21))</f>
        <v/>
      </c>
      <c r="AM21" s="1414" t="str">
        <f>IF(AND(AN21&gt;0,COUNTIFS(UomConversion!$D$8:$D$500,MID(AK21,1,3)*1,UomConversion!$J$8:$J$500,1)&gt;1),TEXT(AN21,"000")&amp;"."&amp;VLOOKUP(AN21,uom_list,4,FALSE),"")</f>
        <v/>
      </c>
      <c r="AN21" s="1414" t="str">
        <f t="shared" si="19"/>
        <v/>
      </c>
      <c r="AO21" s="1414" t="str">
        <f t="shared" si="20"/>
        <v/>
      </c>
      <c r="AP21" s="126" t="str">
        <f t="shared" si="21"/>
        <v/>
      </c>
      <c r="AQ21" s="126" t="str" cm="1">
        <f t="array" ref="AQ21">IF(M21="","",IF(ISNA(Slookup(MID(AK21,1,3)*1,UomConversion!$D$8:$J$500,2,UomConversion!$I$8:$I$500,1,UomConversion!$J$8:$J$500,1)),"",Slookup(MID(AK21,1,3)*1,UomConversion!$D$8:$J$500,2,UomConversion!$I$8:$I$500,1,UomConversion!$J$8:$J$500,1)))</f>
        <v/>
      </c>
      <c r="AR21" s="13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S21" s="126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5" ht="27" customHeight="1">
      <c r="A22" s="765"/>
      <c r="B22" s="922"/>
      <c r="C22" s="1581" t="s">
        <v>246</v>
      </c>
      <c r="D22" s="1582"/>
      <c r="E22" s="1583"/>
      <c r="F22" s="1212"/>
      <c r="I22" s="426" t="str">
        <f t="shared" si="8"/>
        <v/>
      </c>
      <c r="J22" s="1412" t="str">
        <f t="shared" si="22"/>
        <v/>
      </c>
      <c r="K22" s="1320" t="str">
        <f t="shared" si="9"/>
        <v/>
      </c>
      <c r="L22" s="1321"/>
      <c r="M22" s="1413"/>
      <c r="N22" s="1322"/>
      <c r="O22" s="1322"/>
      <c r="P22" s="1413" t="str">
        <f t="shared" si="47"/>
        <v/>
      </c>
      <c r="Q22" s="1414"/>
      <c r="R22" s="1415"/>
      <c r="S22" s="1323" t="str">
        <f t="shared" ref="S22" si="60">IF(M22="","",pb_currency_symbol)</f>
        <v/>
      </c>
      <c r="T22" s="1422"/>
      <c r="U22" s="1324" t="str">
        <f t="shared" si="0"/>
        <v/>
      </c>
      <c r="V22" s="1323" t="str">
        <f t="shared" ref="V22" si="61">IF(W22=0,"",pb_currency_symbol)</f>
        <v/>
      </c>
      <c r="W22" s="1424"/>
      <c r="X22" s="1427" t="str">
        <f t="shared" ref="X22" si="62">IF(M22="","",pb_currency_symbol)</f>
        <v/>
      </c>
      <c r="Y22" s="1326" t="str">
        <f t="shared" si="13"/>
        <v/>
      </c>
      <c r="Z22" s="1426" t="str" cm="1">
        <f t="array" ref="Z22">IF(M22="","",IF(P22=AK22,1,Slookup(MID(AK22,1,3)*1,UomConversion!$D$8:$J$500,5,UomConversion!$E$8:$E$500,MID(P22,1,3)*1,UomConversion!$J$8:$J$500,1)))</f>
        <v/>
      </c>
      <c r="AA22" s="1414" t="str">
        <f t="shared" si="14"/>
        <v/>
      </c>
      <c r="AB22" s="1416" t="str">
        <f t="shared" si="15"/>
        <v/>
      </c>
      <c r="AC22" s="1417" t="str">
        <f t="shared" si="16"/>
        <v/>
      </c>
      <c r="AD22" s="1418" t="str">
        <f t="shared" si="17"/>
        <v/>
      </c>
      <c r="AE22" s="1414" t="str">
        <f>IF(I22="","",IF(ISNA(MATCH(I22,IF(pb_location_id=1,'[1]1_inventory_totals'!$C$8:$C$10000,IF(pb_location_id=2,'[1]2_inventory_totals'!$C$8:$C$10000,"")),0)),0,IF(AR22&gt;0,1,0)))</f>
        <v/>
      </c>
      <c r="AF22" s="1414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G22" s="1414" t="str">
        <f>IF(M22="","",IF(ISNA(MATCH(I22,'[1]1_group_totals'!$C$8:$C$10000)),0,IF(AS22&gt;0,1,0)))</f>
        <v/>
      </c>
      <c r="AH22" s="1414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I22" s="1414" t="str">
        <f>IF(M22="","",IF(AJ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J22" s="1414" t="str">
        <f>IF(M22="","",SUMIFS('1_group_totals'!$J$8:$J$10000,'[1]1_group_totals'!$C$8:$C$10000,I22,'1_group_totals'!$F$8:$F$10000,pb_location_group_id,'[1]1_group_totals'!$G$8:$G$10000,pb_location_id,'[1]1_group_totals'!$H$8:$H$10000,"="&amp;Q22,'[1]1_group_totals'!$I$8:$I$10000,"="&amp;R22))</f>
        <v/>
      </c>
      <c r="AK22" s="1414" t="str">
        <f t="shared" si="18"/>
        <v/>
      </c>
      <c r="AL22" s="1414" t="str">
        <f>IF(OR(ISNA(MATCH(MID(AK22,1,3)*1,UomConversion!$D$8:$D$500,0)),M22=""),"",IF(AP22="","",AP22))</f>
        <v/>
      </c>
      <c r="AM22" s="1414" t="str">
        <f>IF(AND(AN22&gt;0,COUNTIFS(UomConversion!$D$8:$D$500,MID(AK22,1,3)*1,UomConversion!$J$8:$J$500,1)&gt;1),TEXT(AN22,"000")&amp;"."&amp;VLOOKUP(AN22,uom_list,4,FALSE),"")</f>
        <v/>
      </c>
      <c r="AN22" s="1414" t="str">
        <f t="shared" si="19"/>
        <v/>
      </c>
      <c r="AO22" s="1414" t="str">
        <f t="shared" si="20"/>
        <v/>
      </c>
      <c r="AP22" s="126" t="str">
        <f t="shared" si="21"/>
        <v/>
      </c>
      <c r="AQ22" s="126" t="str" cm="1">
        <f t="array" ref="AQ22">IF(M22="","",IF(ISNA(Slookup(MID(AK22,1,3)*1,UomConversion!$D$8:$J$500,2,UomConversion!$I$8:$I$500,1,UomConversion!$J$8:$J$500,1)),"",Slookup(MID(AK22,1,3)*1,UomConversion!$D$8:$J$500,2,UomConversion!$I$8:$I$500,1,UomConversion!$J$8:$J$500,1)))</f>
        <v/>
      </c>
      <c r="AR22" s="13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S22" s="126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5" ht="27" customHeight="1">
      <c r="A23" s="765"/>
      <c r="B23" s="922"/>
      <c r="C23" s="1584"/>
      <c r="D23" s="1585"/>
      <c r="E23" s="1586"/>
      <c r="F23" s="1212"/>
      <c r="I23" s="426" t="str">
        <f t="shared" si="8"/>
        <v/>
      </c>
      <c r="J23" s="1412" t="str">
        <f t="shared" si="22"/>
        <v/>
      </c>
      <c r="K23" s="1320" t="str">
        <f t="shared" si="9"/>
        <v/>
      </c>
      <c r="L23" s="1321"/>
      <c r="M23" s="1413"/>
      <c r="N23" s="1322"/>
      <c r="O23" s="1322"/>
      <c r="P23" s="1413" t="str">
        <f t="shared" si="47"/>
        <v/>
      </c>
      <c r="Q23" s="1414"/>
      <c r="R23" s="1415"/>
      <c r="S23" s="1323" t="str">
        <f t="shared" ref="S23" si="63">IF(M23="","",pb_currency_symbol)</f>
        <v/>
      </c>
      <c r="T23" s="1422"/>
      <c r="U23" s="1324" t="str">
        <f t="shared" si="0"/>
        <v/>
      </c>
      <c r="V23" s="1323" t="str">
        <f t="shared" ref="V23" si="64">IF(W23=0,"",pb_currency_symbol)</f>
        <v/>
      </c>
      <c r="W23" s="1424"/>
      <c r="X23" s="1427" t="str">
        <f t="shared" ref="X23" si="65">IF(M23="","",pb_currency_symbol)</f>
        <v/>
      </c>
      <c r="Y23" s="1326" t="str">
        <f t="shared" si="13"/>
        <v/>
      </c>
      <c r="Z23" s="1426" t="str" cm="1">
        <f t="array" ref="Z23">IF(M23="","",IF(P23=AK23,1,Slookup(MID(AK23,1,3)*1,UomConversion!$D$8:$J$500,5,UomConversion!$E$8:$E$500,MID(P23,1,3)*1,UomConversion!$J$8:$J$500,1)))</f>
        <v/>
      </c>
      <c r="AA23" s="1414" t="str">
        <f t="shared" si="14"/>
        <v/>
      </c>
      <c r="AB23" s="1416" t="str">
        <f t="shared" si="15"/>
        <v/>
      </c>
      <c r="AC23" s="1417" t="str">
        <f t="shared" si="16"/>
        <v/>
      </c>
      <c r="AD23" s="1418" t="str">
        <f t="shared" si="17"/>
        <v/>
      </c>
      <c r="AE23" s="1414" t="str">
        <f>IF(I23="","",IF(ISNA(MATCH(I23,IF(pb_location_id=1,'[1]1_inventory_totals'!$C$8:$C$10000,IF(pb_location_id=2,'[1]2_inventory_totals'!$C$8:$C$10000,"")),0)),0,IF(AR23&gt;0,1,0)))</f>
        <v/>
      </c>
      <c r="AF23" s="1414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G23" s="1414" t="str">
        <f>IF(M23="","",IF(ISNA(MATCH(I23,'[1]1_group_totals'!$C$8:$C$10000)),0,IF(AS23&gt;0,1,0)))</f>
        <v/>
      </c>
      <c r="AH23" s="1414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I23" s="1414" t="str">
        <f>IF(M23="","",IF(AJ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J23" s="1414" t="str">
        <f>IF(M23="","",SUMIFS('1_group_totals'!$J$8:$J$10000,'[1]1_group_totals'!$C$8:$C$10000,I23,'1_group_totals'!$F$8:$F$10000,pb_location_group_id,'[1]1_group_totals'!$G$8:$G$10000,pb_location_id,'[1]1_group_totals'!$H$8:$H$10000,"="&amp;Q23,'[1]1_group_totals'!$I$8:$I$10000,"="&amp;R23))</f>
        <v/>
      </c>
      <c r="AK23" s="1414" t="str">
        <f t="shared" si="18"/>
        <v/>
      </c>
      <c r="AL23" s="1414" t="str">
        <f>IF(OR(ISNA(MATCH(MID(AK23,1,3)*1,UomConversion!$D$8:$D$500,0)),M23=""),"",IF(AP23="","",AP23))</f>
        <v/>
      </c>
      <c r="AM23" s="1414" t="str">
        <f>IF(AND(AN23&gt;0,COUNTIFS(UomConversion!$D$8:$D$500,MID(AK23,1,3)*1,UomConversion!$J$8:$J$500,1)&gt;1),TEXT(AN23,"000")&amp;"."&amp;VLOOKUP(AN23,uom_list,4,FALSE),"")</f>
        <v/>
      </c>
      <c r="AN23" s="1414" t="str">
        <f t="shared" si="19"/>
        <v/>
      </c>
      <c r="AO23" s="1414" t="str">
        <f t="shared" si="20"/>
        <v/>
      </c>
      <c r="AP23" s="126" t="str">
        <f t="shared" si="21"/>
        <v/>
      </c>
      <c r="AQ23" s="126" t="str" cm="1">
        <f t="array" ref="AQ23">IF(M23="","",IF(ISNA(Slookup(MID(AK23,1,3)*1,UomConversion!$D$8:$J$500,2,UomConversion!$I$8:$I$500,1,UomConversion!$J$8:$J$500,1)),"",Slookup(MID(AK23,1,3)*1,UomConversion!$D$8:$J$500,2,UomConversion!$I$8:$I$500,1,UomConversion!$J$8:$J$500,1)))</f>
        <v/>
      </c>
      <c r="AR23" s="13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S23" s="126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5" ht="27" customHeight="1">
      <c r="A24" s="765"/>
      <c r="B24" s="922"/>
      <c r="C24" s="1587"/>
      <c r="D24" s="1588"/>
      <c r="E24" s="1589"/>
      <c r="F24" s="1212"/>
      <c r="I24" s="426" t="str">
        <f t="shared" si="8"/>
        <v/>
      </c>
      <c r="J24" s="1412" t="str">
        <f t="shared" si="22"/>
        <v/>
      </c>
      <c r="K24" s="1320" t="str">
        <f t="shared" si="9"/>
        <v/>
      </c>
      <c r="L24" s="1321"/>
      <c r="M24" s="1413"/>
      <c r="N24" s="1322"/>
      <c r="O24" s="1322"/>
      <c r="P24" s="1413" t="str">
        <f t="shared" si="47"/>
        <v/>
      </c>
      <c r="Q24" s="1414"/>
      <c r="R24" s="1415"/>
      <c r="S24" s="1323" t="str">
        <f t="shared" ref="S24" si="66">IF(M24="","",pb_currency_symbol)</f>
        <v/>
      </c>
      <c r="T24" s="1422"/>
      <c r="U24" s="1324" t="str">
        <f t="shared" si="0"/>
        <v/>
      </c>
      <c r="V24" s="1323" t="str">
        <f t="shared" ref="V24" si="67">IF(W24=0,"",pb_currency_symbol)</f>
        <v/>
      </c>
      <c r="W24" s="1424"/>
      <c r="X24" s="1427" t="str">
        <f t="shared" ref="X24" si="68">IF(M24="","",pb_currency_symbol)</f>
        <v/>
      </c>
      <c r="Y24" s="1326" t="str">
        <f t="shared" si="13"/>
        <v/>
      </c>
      <c r="Z24" s="1426" t="str" cm="1">
        <f t="array" ref="Z24">IF(M24="","",IF(P24=AK24,1,Slookup(MID(AK24,1,3)*1,UomConversion!$D$8:$J$500,5,UomConversion!$E$8:$E$500,MID(P24,1,3)*1,UomConversion!$J$8:$J$500,1)))</f>
        <v/>
      </c>
      <c r="AA24" s="1414" t="str">
        <f t="shared" si="14"/>
        <v/>
      </c>
      <c r="AB24" s="1416" t="str">
        <f t="shared" si="15"/>
        <v/>
      </c>
      <c r="AC24" s="1417" t="str">
        <f t="shared" si="16"/>
        <v/>
      </c>
      <c r="AD24" s="1418" t="str">
        <f t="shared" si="17"/>
        <v/>
      </c>
      <c r="AE24" s="1414" t="str">
        <f>IF(I24="","",IF(ISNA(MATCH(I24,IF(pb_location_id=1,'[1]1_inventory_totals'!$C$8:$C$10000,IF(pb_location_id=2,'[1]2_inventory_totals'!$C$8:$C$10000,"")),0)),0,IF(AR24&gt;0,1,0)))</f>
        <v/>
      </c>
      <c r="AF24" s="1414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G24" s="1414" t="str">
        <f>IF(M24="","",IF(ISNA(MATCH(I24,'[1]1_group_totals'!$C$8:$C$10000)),0,IF(AS24&gt;0,1,0)))</f>
        <v/>
      </c>
      <c r="AH24" s="1414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I24" s="1414" t="str">
        <f>IF(M24="","",IF(AJ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J24" s="1414" t="str">
        <f>IF(M24="","",SUMIFS('1_group_totals'!$J$8:$J$10000,'[1]1_group_totals'!$C$8:$C$10000,I24,'1_group_totals'!$F$8:$F$10000,pb_location_group_id,'[1]1_group_totals'!$G$8:$G$10000,pb_location_id,'[1]1_group_totals'!$H$8:$H$10000,"="&amp;Q24,'[1]1_group_totals'!$I$8:$I$10000,"="&amp;R24))</f>
        <v/>
      </c>
      <c r="AK24" s="1414" t="str">
        <f t="shared" si="18"/>
        <v/>
      </c>
      <c r="AL24" s="1414" t="str">
        <f>IF(OR(ISNA(MATCH(MID(AK24,1,3)*1,UomConversion!$D$8:$D$500,0)),M24=""),"",IF(AP24="","",AP24))</f>
        <v/>
      </c>
      <c r="AM24" s="1414" t="str">
        <f>IF(AND(AN24&gt;0,COUNTIFS(UomConversion!$D$8:$D$500,MID(AK24,1,3)*1,UomConversion!$J$8:$J$500,1)&gt;1),TEXT(AN24,"000")&amp;"."&amp;VLOOKUP(AN24,uom_list,4,FALSE),"")</f>
        <v/>
      </c>
      <c r="AN24" s="1414" t="str">
        <f t="shared" si="19"/>
        <v/>
      </c>
      <c r="AO24" s="1414" t="str">
        <f t="shared" si="20"/>
        <v/>
      </c>
      <c r="AP24" s="126" t="str">
        <f t="shared" si="21"/>
        <v/>
      </c>
      <c r="AQ24" s="126" t="str" cm="1">
        <f t="array" ref="AQ24">IF(M24="","",IF(ISNA(Slookup(MID(AK24,1,3)*1,UomConversion!$D$8:$J$500,2,UomConversion!$I$8:$I$500,1,UomConversion!$J$8:$J$500,1)),"",Slookup(MID(AK24,1,3)*1,UomConversion!$D$8:$J$500,2,UomConversion!$I$8:$I$500,1,UomConversion!$J$8:$J$500,1)))</f>
        <v/>
      </c>
      <c r="AR24" s="13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S24" s="126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5" ht="27" customHeight="1">
      <c r="A25" s="765"/>
      <c r="B25" s="922"/>
      <c r="C25" s="984"/>
      <c r="D25" s="984"/>
      <c r="E25" s="984"/>
      <c r="F25" s="940"/>
      <c r="I25" s="426" t="str">
        <f t="shared" si="8"/>
        <v/>
      </c>
      <c r="J25" s="1412" t="str">
        <f t="shared" si="22"/>
        <v/>
      </c>
      <c r="K25" s="1320" t="str">
        <f t="shared" si="9"/>
        <v/>
      </c>
      <c r="L25" s="1321"/>
      <c r="M25" s="1413"/>
      <c r="N25" s="1322"/>
      <c r="O25" s="1322"/>
      <c r="P25" s="1413" t="str">
        <f t="shared" si="47"/>
        <v/>
      </c>
      <c r="Q25" s="1414"/>
      <c r="R25" s="1415"/>
      <c r="S25" s="1323" t="str">
        <f t="shared" ref="S25" si="69">IF(M25="","",pb_currency_symbol)</f>
        <v/>
      </c>
      <c r="T25" s="1422"/>
      <c r="U25" s="1324" t="str">
        <f t="shared" si="0"/>
        <v/>
      </c>
      <c r="V25" s="1323" t="str">
        <f t="shared" ref="V25" si="70">IF(W25=0,"",pb_currency_symbol)</f>
        <v/>
      </c>
      <c r="W25" s="1424"/>
      <c r="X25" s="1427" t="str">
        <f t="shared" ref="X25" si="71">IF(M25="","",pb_currency_symbol)</f>
        <v/>
      </c>
      <c r="Y25" s="1326" t="str">
        <f t="shared" si="13"/>
        <v/>
      </c>
      <c r="Z25" s="1426" t="str" cm="1">
        <f t="array" ref="Z25">IF(M25="","",IF(P25=AK25,1,Slookup(MID(AK25,1,3)*1,UomConversion!$D$8:$J$500,5,UomConversion!$E$8:$E$500,MID(P25,1,3)*1,UomConversion!$J$8:$J$500,1)))</f>
        <v/>
      </c>
      <c r="AA25" s="1414" t="str">
        <f t="shared" si="14"/>
        <v/>
      </c>
      <c r="AB25" s="1416" t="str">
        <f t="shared" si="15"/>
        <v/>
      </c>
      <c r="AC25" s="1417" t="str">
        <f t="shared" si="16"/>
        <v/>
      </c>
      <c r="AD25" s="1418" t="str">
        <f t="shared" si="17"/>
        <v/>
      </c>
      <c r="AE25" s="1414" t="str">
        <f>IF(I25="","",IF(ISNA(MATCH(I25,IF(pb_location_id=1,'[1]1_inventory_totals'!$C$8:$C$10000,IF(pb_location_id=2,'[1]2_inventory_totals'!$C$8:$C$10000,"")),0)),0,IF(AR25&gt;0,1,0)))</f>
        <v/>
      </c>
      <c r="AF25" s="1414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G25" s="1414" t="str">
        <f>IF(M25="","",IF(ISNA(MATCH(I25,'[1]1_group_totals'!$C$8:$C$10000)),0,IF(AS25&gt;0,1,0)))</f>
        <v/>
      </c>
      <c r="AH25" s="1414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I25" s="1414" t="str">
        <f>IF(M25="","",IF(AJ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J25" s="1414" t="str">
        <f>IF(M25="","",SUMIFS('1_group_totals'!$J$8:$J$10000,'[1]1_group_totals'!$C$8:$C$10000,I25,'1_group_totals'!$F$8:$F$10000,pb_location_group_id,'[1]1_group_totals'!$G$8:$G$10000,pb_location_id,'[1]1_group_totals'!$H$8:$H$10000,"="&amp;Q25,'[1]1_group_totals'!$I$8:$I$10000,"="&amp;R25))</f>
        <v/>
      </c>
      <c r="AK25" s="1414" t="str">
        <f t="shared" si="18"/>
        <v/>
      </c>
      <c r="AL25" s="1414" t="str">
        <f>IF(OR(ISNA(MATCH(MID(AK25,1,3)*1,UomConversion!$D$8:$D$500,0)),M25=""),"",IF(AP25="","",AP25))</f>
        <v/>
      </c>
      <c r="AM25" s="1414" t="str">
        <f>IF(AND(AN25&gt;0,COUNTIFS(UomConversion!$D$8:$D$500,MID(AK25,1,3)*1,UomConversion!$J$8:$J$500,1)&gt;1),TEXT(AN25,"000")&amp;"."&amp;VLOOKUP(AN25,uom_list,4,FALSE),"")</f>
        <v/>
      </c>
      <c r="AN25" s="1414" t="str">
        <f t="shared" si="19"/>
        <v/>
      </c>
      <c r="AO25" s="1414" t="str">
        <f t="shared" si="20"/>
        <v/>
      </c>
      <c r="AP25" s="126" t="str">
        <f t="shared" si="21"/>
        <v/>
      </c>
      <c r="AQ25" s="126" t="str" cm="1">
        <f t="array" ref="AQ25">IF(M25="","",IF(ISNA(Slookup(MID(AK25,1,3)*1,UomConversion!$D$8:$J$500,2,UomConversion!$I$8:$I$500,1,UomConversion!$J$8:$J$500,1)),"",Slookup(MID(AK25,1,3)*1,UomConversion!$D$8:$J$500,2,UomConversion!$I$8:$I$500,1,UomConversion!$J$8:$J$500,1)))</f>
        <v/>
      </c>
      <c r="AR25" s="13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S25" s="126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5" ht="27" customHeight="1">
      <c r="A26" s="765"/>
      <c r="B26" s="922"/>
      <c r="C26" s="984"/>
      <c r="D26" s="984"/>
      <c r="E26" s="984"/>
      <c r="F26" s="940"/>
      <c r="I26" s="426" t="str">
        <f t="shared" si="8"/>
        <v/>
      </c>
      <c r="J26" s="1412" t="str">
        <f t="shared" si="22"/>
        <v/>
      </c>
      <c r="K26" s="1320" t="str">
        <f t="shared" si="9"/>
        <v/>
      </c>
      <c r="L26" s="1321"/>
      <c r="M26" s="1413"/>
      <c r="N26" s="1322"/>
      <c r="O26" s="1322"/>
      <c r="P26" s="1413" t="str">
        <f t="shared" si="47"/>
        <v/>
      </c>
      <c r="Q26" s="1414"/>
      <c r="R26" s="1415"/>
      <c r="S26" s="1323" t="str">
        <f t="shared" ref="S26" si="72">IF(M26="","",pb_currency_symbol)</f>
        <v/>
      </c>
      <c r="T26" s="1422"/>
      <c r="U26" s="1324" t="str">
        <f t="shared" si="0"/>
        <v/>
      </c>
      <c r="V26" s="1323" t="str">
        <f t="shared" ref="V26" si="73">IF(W26=0,"",pb_currency_symbol)</f>
        <v/>
      </c>
      <c r="W26" s="1424"/>
      <c r="X26" s="1427" t="str">
        <f t="shared" ref="X26" si="74">IF(M26="","",pb_currency_symbol)</f>
        <v/>
      </c>
      <c r="Y26" s="1326" t="str">
        <f t="shared" si="13"/>
        <v/>
      </c>
      <c r="Z26" s="1426" t="str" cm="1">
        <f t="array" ref="Z26">IF(M26="","",IF(P26=AK26,1,Slookup(MID(AK26,1,3)*1,UomConversion!$D$8:$J$500,5,UomConversion!$E$8:$E$500,MID(P26,1,3)*1,UomConversion!$J$8:$J$500,1)))</f>
        <v/>
      </c>
      <c r="AA26" s="1414" t="str">
        <f t="shared" si="14"/>
        <v/>
      </c>
      <c r="AB26" s="1416" t="str">
        <f t="shared" si="15"/>
        <v/>
      </c>
      <c r="AC26" s="1417" t="str">
        <f t="shared" si="16"/>
        <v/>
      </c>
      <c r="AD26" s="1418" t="str">
        <f t="shared" si="17"/>
        <v/>
      </c>
      <c r="AE26" s="1414" t="str">
        <f>IF(I26="","",IF(ISNA(MATCH(I26,IF(pb_location_id=1,'[1]1_inventory_totals'!$C$8:$C$10000,IF(pb_location_id=2,'[1]2_inventory_totals'!$C$8:$C$10000,"")),0)),0,IF(AR26&gt;0,1,0)))</f>
        <v/>
      </c>
      <c r="AF26" s="1414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G26" s="1414" t="str">
        <f>IF(M26="","",IF(ISNA(MATCH(I26,'[1]1_group_totals'!$C$8:$C$10000)),0,IF(AS26&gt;0,1,0)))</f>
        <v/>
      </c>
      <c r="AH26" s="1414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I26" s="1414" t="str">
        <f>IF(M26="","",IF(AJ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J26" s="1414" t="str">
        <f>IF(M26="","",SUMIFS('1_group_totals'!$J$8:$J$10000,'[1]1_group_totals'!$C$8:$C$10000,I26,'1_group_totals'!$F$8:$F$10000,pb_location_group_id,'[1]1_group_totals'!$G$8:$G$10000,pb_location_id,'[1]1_group_totals'!$H$8:$H$10000,"="&amp;Q26,'[1]1_group_totals'!$I$8:$I$10000,"="&amp;R26))</f>
        <v/>
      </c>
      <c r="AK26" s="1414" t="str">
        <f t="shared" si="18"/>
        <v/>
      </c>
      <c r="AL26" s="1414" t="str">
        <f>IF(OR(ISNA(MATCH(MID(AK26,1,3)*1,UomConversion!$D$8:$D$500,0)),M26=""),"",IF(AP26="","",AP26))</f>
        <v/>
      </c>
      <c r="AM26" s="1414" t="str">
        <f>IF(AND(AN26&gt;0,COUNTIFS(UomConversion!$D$8:$D$500,MID(AK26,1,3)*1,UomConversion!$J$8:$J$500,1)&gt;1),TEXT(AN26,"000")&amp;"."&amp;VLOOKUP(AN26,uom_list,4,FALSE),"")</f>
        <v/>
      </c>
      <c r="AN26" s="1414" t="str">
        <f t="shared" si="19"/>
        <v/>
      </c>
      <c r="AO26" s="1414" t="str">
        <f t="shared" si="20"/>
        <v/>
      </c>
      <c r="AP26" s="126" t="str">
        <f t="shared" si="21"/>
        <v/>
      </c>
      <c r="AQ26" s="126" t="str" cm="1">
        <f t="array" ref="AQ26">IF(M26="","",IF(ISNA(Slookup(MID(AK26,1,3)*1,UomConversion!$D$8:$J$500,2,UomConversion!$I$8:$I$500,1,UomConversion!$J$8:$J$500,1)),"",Slookup(MID(AK26,1,3)*1,UomConversion!$D$8:$J$500,2,UomConversion!$I$8:$I$500,1,UomConversion!$J$8:$J$500,1)))</f>
        <v/>
      </c>
      <c r="AR26" s="13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S26" s="126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5" ht="27" customHeight="1">
      <c r="A27" s="765"/>
      <c r="B27" s="922"/>
      <c r="C27" s="984"/>
      <c r="D27" s="984"/>
      <c r="E27" s="984"/>
      <c r="F27" s="940"/>
      <c r="I27" s="426" t="str">
        <f t="shared" si="8"/>
        <v/>
      </c>
      <c r="J27" s="1412" t="str">
        <f t="shared" si="22"/>
        <v/>
      </c>
      <c r="K27" s="1320" t="str">
        <f t="shared" si="9"/>
        <v/>
      </c>
      <c r="L27" s="1321"/>
      <c r="M27" s="1413"/>
      <c r="N27" s="1322"/>
      <c r="O27" s="1322"/>
      <c r="P27" s="1413" t="str">
        <f t="shared" si="47"/>
        <v/>
      </c>
      <c r="Q27" s="1414"/>
      <c r="R27" s="1415"/>
      <c r="S27" s="1323" t="str">
        <f t="shared" ref="S27" si="75">IF(M27="","",pb_currency_symbol)</f>
        <v/>
      </c>
      <c r="T27" s="1422"/>
      <c r="U27" s="1324" t="str">
        <f t="shared" si="0"/>
        <v/>
      </c>
      <c r="V27" s="1323" t="str">
        <f t="shared" ref="V27" si="76">IF(W27=0,"",pb_currency_symbol)</f>
        <v/>
      </c>
      <c r="W27" s="1424"/>
      <c r="X27" s="1427" t="str">
        <f t="shared" ref="X27" si="77">IF(M27="","",pb_currency_symbol)</f>
        <v/>
      </c>
      <c r="Y27" s="1326" t="str">
        <f t="shared" si="13"/>
        <v/>
      </c>
      <c r="Z27" s="1426" t="str" cm="1">
        <f t="array" ref="Z27">IF(M27="","",IF(P27=AK27,1,Slookup(MID(AK27,1,3)*1,UomConversion!$D$8:$J$500,5,UomConversion!$E$8:$E$500,MID(P27,1,3)*1,UomConversion!$J$8:$J$500,1)))</f>
        <v/>
      </c>
      <c r="AA27" s="1414" t="str">
        <f t="shared" si="14"/>
        <v/>
      </c>
      <c r="AB27" s="1416" t="str">
        <f t="shared" si="15"/>
        <v/>
      </c>
      <c r="AC27" s="1417" t="str">
        <f t="shared" si="16"/>
        <v/>
      </c>
      <c r="AD27" s="1418" t="str">
        <f t="shared" si="17"/>
        <v/>
      </c>
      <c r="AE27" s="1414" t="str">
        <f>IF(I27="","",IF(ISNA(MATCH(I27,IF(pb_location_id=1,'[1]1_inventory_totals'!$C$8:$C$10000,IF(pb_location_id=2,'[1]2_inventory_totals'!$C$8:$C$10000,"")),0)),0,IF(AR27&gt;0,1,0)))</f>
        <v/>
      </c>
      <c r="AF27" s="1414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G27" s="1414" t="str">
        <f>IF(M27="","",IF(ISNA(MATCH(I27,'[1]1_group_totals'!$C$8:$C$10000)),0,IF(AS27&gt;0,1,0)))</f>
        <v/>
      </c>
      <c r="AH27" s="1414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I27" s="1414" t="str">
        <f>IF(M27="","",IF(AJ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J27" s="1414" t="str">
        <f>IF(M27="","",SUMIFS('1_group_totals'!$J$8:$J$10000,'[1]1_group_totals'!$C$8:$C$10000,I27,'1_group_totals'!$F$8:$F$10000,pb_location_group_id,'[1]1_group_totals'!$G$8:$G$10000,pb_location_id,'[1]1_group_totals'!$H$8:$H$10000,"="&amp;Q27,'[1]1_group_totals'!$I$8:$I$10000,"="&amp;R27))</f>
        <v/>
      </c>
      <c r="AK27" s="1414" t="str">
        <f t="shared" si="18"/>
        <v/>
      </c>
      <c r="AL27" s="1414" t="str">
        <f>IF(OR(ISNA(MATCH(MID(AK27,1,3)*1,UomConversion!$D$8:$D$500,0)),M27=""),"",IF(AP27="","",AP27))</f>
        <v/>
      </c>
      <c r="AM27" s="1414" t="str">
        <f>IF(AND(AN27&gt;0,COUNTIFS(UomConversion!$D$8:$D$500,MID(AK27,1,3)*1,UomConversion!$J$8:$J$500,1)&gt;1),TEXT(AN27,"000")&amp;"."&amp;VLOOKUP(AN27,uom_list,4,FALSE),"")</f>
        <v/>
      </c>
      <c r="AN27" s="1414" t="str">
        <f t="shared" si="19"/>
        <v/>
      </c>
      <c r="AO27" s="1414" t="str">
        <f t="shared" si="20"/>
        <v/>
      </c>
      <c r="AP27" s="126" t="str">
        <f t="shared" si="21"/>
        <v/>
      </c>
      <c r="AQ27" s="126" t="str" cm="1">
        <f t="array" ref="AQ27">IF(M27="","",IF(ISNA(Slookup(MID(AK27,1,3)*1,UomConversion!$D$8:$J$500,2,UomConversion!$I$8:$I$500,1,UomConversion!$J$8:$J$500,1)),"",Slookup(MID(AK27,1,3)*1,UomConversion!$D$8:$J$500,2,UomConversion!$I$8:$I$500,1,UomConversion!$J$8:$J$500,1)))</f>
        <v/>
      </c>
      <c r="AR27" s="13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S27" s="126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5" ht="27" customHeight="1">
      <c r="A28" s="765"/>
      <c r="B28" s="922"/>
      <c r="C28" s="984"/>
      <c r="D28" s="984"/>
      <c r="E28" s="984"/>
      <c r="F28" s="940"/>
      <c r="I28" s="426" t="str">
        <f t="shared" si="8"/>
        <v/>
      </c>
      <c r="J28" s="1412" t="str">
        <f t="shared" si="22"/>
        <v/>
      </c>
      <c r="K28" s="1320" t="str">
        <f t="shared" si="9"/>
        <v/>
      </c>
      <c r="L28" s="1321"/>
      <c r="M28" s="1413"/>
      <c r="N28" s="1322"/>
      <c r="O28" s="1322"/>
      <c r="P28" s="1413" t="str">
        <f t="shared" si="47"/>
        <v/>
      </c>
      <c r="Q28" s="1414"/>
      <c r="R28" s="1415"/>
      <c r="S28" s="1323" t="str">
        <f t="shared" ref="S28" si="78">IF(M28="","",pb_currency_symbol)</f>
        <v/>
      </c>
      <c r="T28" s="1422"/>
      <c r="U28" s="1324" t="str">
        <f t="shared" si="0"/>
        <v/>
      </c>
      <c r="V28" s="1323" t="str">
        <f t="shared" ref="V28" si="79">IF(W28=0,"",pb_currency_symbol)</f>
        <v/>
      </c>
      <c r="W28" s="1424"/>
      <c r="X28" s="1427" t="str">
        <f t="shared" ref="X28" si="80">IF(M28="","",pb_currency_symbol)</f>
        <v/>
      </c>
      <c r="Y28" s="1326" t="str">
        <f t="shared" si="13"/>
        <v/>
      </c>
      <c r="Z28" s="1426" t="str" cm="1">
        <f t="array" ref="Z28">IF(M28="","",IF(P28=AK28,1,Slookup(MID(AK28,1,3)*1,UomConversion!$D$8:$J$500,5,UomConversion!$E$8:$E$500,MID(P28,1,3)*1,UomConversion!$J$8:$J$500,1)))</f>
        <v/>
      </c>
      <c r="AA28" s="1414" t="str">
        <f t="shared" si="14"/>
        <v/>
      </c>
      <c r="AB28" s="1416" t="str">
        <f t="shared" si="15"/>
        <v/>
      </c>
      <c r="AC28" s="1417" t="str">
        <f t="shared" si="16"/>
        <v/>
      </c>
      <c r="AD28" s="1418" t="str">
        <f t="shared" si="17"/>
        <v/>
      </c>
      <c r="AE28" s="1414" t="str">
        <f>IF(I28="","",IF(ISNA(MATCH(I28,IF(pb_location_id=1,'[1]1_inventory_totals'!$C$8:$C$10000,IF(pb_location_id=2,'[1]2_inventory_totals'!$C$8:$C$10000,"")),0)),0,IF(AR28&gt;0,1,0)))</f>
        <v/>
      </c>
      <c r="AF28" s="1414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G28" s="1414" t="str">
        <f>IF(M28="","",IF(ISNA(MATCH(I28,'[1]1_group_totals'!$C$8:$C$10000)),0,IF(AS28&gt;0,1,0)))</f>
        <v/>
      </c>
      <c r="AH28" s="1414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I28" s="1414" t="str">
        <f>IF(M28="","",IF(AJ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J28" s="1414" t="str">
        <f>IF(M28="","",SUMIFS('1_group_totals'!$J$8:$J$10000,'[1]1_group_totals'!$C$8:$C$10000,I28,'1_group_totals'!$F$8:$F$10000,pb_location_group_id,'[1]1_group_totals'!$G$8:$G$10000,pb_location_id,'[1]1_group_totals'!$H$8:$H$10000,"="&amp;Q28,'[1]1_group_totals'!$I$8:$I$10000,"="&amp;R28))</f>
        <v/>
      </c>
      <c r="AK28" s="1414" t="str">
        <f t="shared" si="18"/>
        <v/>
      </c>
      <c r="AL28" s="1414" t="str">
        <f>IF(OR(ISNA(MATCH(MID(AK28,1,3)*1,UomConversion!$D$8:$D$500,0)),M28=""),"",IF(AP28="","",AP28))</f>
        <v/>
      </c>
      <c r="AM28" s="1414" t="str">
        <f>IF(AND(AN28&gt;0,COUNTIFS(UomConversion!$D$8:$D$500,MID(AK28,1,3)*1,UomConversion!$J$8:$J$500,1)&gt;1),TEXT(AN28,"000")&amp;"."&amp;VLOOKUP(AN28,uom_list,4,FALSE),"")</f>
        <v/>
      </c>
      <c r="AN28" s="1414" t="str">
        <f t="shared" si="19"/>
        <v/>
      </c>
      <c r="AO28" s="1414" t="str">
        <f t="shared" si="20"/>
        <v/>
      </c>
      <c r="AP28" s="126" t="str">
        <f t="shared" si="21"/>
        <v/>
      </c>
      <c r="AQ28" s="126" t="str" cm="1">
        <f t="array" ref="AQ28">IF(M28="","",IF(ISNA(Slookup(MID(AK28,1,3)*1,UomConversion!$D$8:$J$500,2,UomConversion!$I$8:$I$500,1,UomConversion!$J$8:$J$500,1)),"",Slookup(MID(AK28,1,3)*1,UomConversion!$D$8:$J$500,2,UomConversion!$I$8:$I$500,1,UomConversion!$J$8:$J$500,1)))</f>
        <v/>
      </c>
      <c r="AR28" s="13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S28" s="126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5" ht="27" customHeight="1">
      <c r="A29" s="765"/>
      <c r="B29" s="922"/>
      <c r="C29" s="984"/>
      <c r="D29" s="984"/>
      <c r="E29" s="984"/>
      <c r="F29" s="940"/>
      <c r="I29" s="426" t="str">
        <f t="shared" si="8"/>
        <v/>
      </c>
      <c r="J29" s="1412" t="str">
        <f t="shared" si="22"/>
        <v/>
      </c>
      <c r="K29" s="1320" t="str">
        <f t="shared" si="9"/>
        <v/>
      </c>
      <c r="L29" s="1321"/>
      <c r="M29" s="1413"/>
      <c r="N29" s="1322"/>
      <c r="O29" s="1322"/>
      <c r="P29" s="1413" t="str">
        <f t="shared" si="47"/>
        <v/>
      </c>
      <c r="Q29" s="1414"/>
      <c r="R29" s="1415"/>
      <c r="S29" s="1323" t="str">
        <f t="shared" ref="S29" si="81">IF(M29="","",pb_currency_symbol)</f>
        <v/>
      </c>
      <c r="T29" s="1422"/>
      <c r="U29" s="1324" t="str">
        <f t="shared" si="0"/>
        <v/>
      </c>
      <c r="V29" s="1323" t="str">
        <f t="shared" ref="V29" si="82">IF(W29=0,"",pb_currency_symbol)</f>
        <v/>
      </c>
      <c r="W29" s="1424"/>
      <c r="X29" s="1427" t="str">
        <f t="shared" ref="X29" si="83">IF(M29="","",pb_currency_symbol)</f>
        <v/>
      </c>
      <c r="Y29" s="1326" t="str">
        <f t="shared" si="13"/>
        <v/>
      </c>
      <c r="Z29" s="1426" t="str" cm="1">
        <f t="array" ref="Z29">IF(M29="","",IF(P29=AK29,1,Slookup(MID(AK29,1,3)*1,UomConversion!$D$8:$J$500,5,UomConversion!$E$8:$E$500,MID(P29,1,3)*1,UomConversion!$J$8:$J$500,1)))</f>
        <v/>
      </c>
      <c r="AA29" s="1414" t="str">
        <f t="shared" si="14"/>
        <v/>
      </c>
      <c r="AB29" s="1416" t="str">
        <f t="shared" si="15"/>
        <v/>
      </c>
      <c r="AC29" s="1417" t="str">
        <f t="shared" si="16"/>
        <v/>
      </c>
      <c r="AD29" s="1418" t="str">
        <f t="shared" si="17"/>
        <v/>
      </c>
      <c r="AE29" s="1414" t="str">
        <f>IF(I29="","",IF(ISNA(MATCH(I29,IF(pb_location_id=1,'[1]1_inventory_totals'!$C$8:$C$10000,IF(pb_location_id=2,'[1]2_inventory_totals'!$C$8:$C$10000,"")),0)),0,IF(AR29&gt;0,1,0)))</f>
        <v/>
      </c>
      <c r="AF29" s="1414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G29" s="1414" t="str">
        <f>IF(M29="","",IF(ISNA(MATCH(I29,'[1]1_group_totals'!$C$8:$C$10000)),0,IF(AS29&gt;0,1,0)))</f>
        <v/>
      </c>
      <c r="AH29" s="1414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I29" s="1414" t="str">
        <f>IF(M29="","",IF(AJ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J29" s="1414" t="str">
        <f>IF(M29="","",SUMIFS('1_group_totals'!$J$8:$J$10000,'[1]1_group_totals'!$C$8:$C$10000,I29,'1_group_totals'!$F$8:$F$10000,pb_location_group_id,'[1]1_group_totals'!$G$8:$G$10000,pb_location_id,'[1]1_group_totals'!$H$8:$H$10000,"="&amp;Q29,'[1]1_group_totals'!$I$8:$I$10000,"="&amp;R29))</f>
        <v/>
      </c>
      <c r="AK29" s="1414" t="str">
        <f t="shared" si="18"/>
        <v/>
      </c>
      <c r="AL29" s="1414" t="str">
        <f>IF(OR(ISNA(MATCH(MID(AK29,1,3)*1,UomConversion!$D$8:$D$500,0)),M29=""),"",IF(AP29="","",AP29))</f>
        <v/>
      </c>
      <c r="AM29" s="1414" t="str">
        <f>IF(AND(AN29&gt;0,COUNTIFS(UomConversion!$D$8:$D$500,MID(AK29,1,3)*1,UomConversion!$J$8:$J$500,1)&gt;1),TEXT(AN29,"000")&amp;"."&amp;VLOOKUP(AN29,uom_list,4,FALSE),"")</f>
        <v/>
      </c>
      <c r="AN29" s="1414" t="str">
        <f t="shared" si="19"/>
        <v/>
      </c>
      <c r="AO29" s="1414" t="str">
        <f t="shared" si="20"/>
        <v/>
      </c>
      <c r="AP29" s="126" t="str">
        <f t="shared" si="21"/>
        <v/>
      </c>
      <c r="AQ29" s="126" t="str" cm="1">
        <f t="array" ref="AQ29">IF(M29="","",IF(ISNA(Slookup(MID(AK29,1,3)*1,UomConversion!$D$8:$J$500,2,UomConversion!$I$8:$I$500,1,UomConversion!$J$8:$J$500,1)),"",Slookup(MID(AK29,1,3)*1,UomConversion!$D$8:$J$500,2,UomConversion!$I$8:$I$500,1,UomConversion!$J$8:$J$500,1)))</f>
        <v/>
      </c>
      <c r="AR29" s="13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S29" s="126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5" ht="27" customHeight="1">
      <c r="A30" s="765"/>
      <c r="B30" s="922"/>
      <c r="C30" s="984"/>
      <c r="D30" s="984"/>
      <c r="E30" s="984"/>
      <c r="F30" s="940"/>
      <c r="I30" s="426" t="str">
        <f t="shared" si="8"/>
        <v/>
      </c>
      <c r="J30" s="1412" t="str">
        <f t="shared" si="22"/>
        <v/>
      </c>
      <c r="K30" s="1320" t="str">
        <f t="shared" si="9"/>
        <v/>
      </c>
      <c r="L30" s="1321"/>
      <c r="M30" s="1413"/>
      <c r="N30" s="1322"/>
      <c r="O30" s="1322"/>
      <c r="P30" s="1413" t="str">
        <f t="shared" si="47"/>
        <v/>
      </c>
      <c r="Q30" s="1414"/>
      <c r="R30" s="1415"/>
      <c r="S30" s="1323" t="str">
        <f t="shared" ref="S30" si="84">IF(M30="","",pb_currency_symbol)</f>
        <v/>
      </c>
      <c r="T30" s="1422"/>
      <c r="U30" s="1324" t="str">
        <f t="shared" si="0"/>
        <v/>
      </c>
      <c r="V30" s="1323" t="str">
        <f t="shared" ref="V30" si="85">IF(W30=0,"",pb_currency_symbol)</f>
        <v/>
      </c>
      <c r="W30" s="1424"/>
      <c r="X30" s="1427" t="str">
        <f t="shared" ref="X30" si="86">IF(M30="","",pb_currency_symbol)</f>
        <v/>
      </c>
      <c r="Y30" s="1326" t="str">
        <f t="shared" si="13"/>
        <v/>
      </c>
      <c r="Z30" s="1426" t="str" cm="1">
        <f t="array" ref="Z30">IF(M30="","",IF(P30=AK30,1,Slookup(MID(AK30,1,3)*1,UomConversion!$D$8:$J$500,5,UomConversion!$E$8:$E$500,MID(P30,1,3)*1,UomConversion!$J$8:$J$500,1)))</f>
        <v/>
      </c>
      <c r="AA30" s="1414" t="str">
        <f t="shared" si="14"/>
        <v/>
      </c>
      <c r="AB30" s="1416" t="str">
        <f t="shared" si="15"/>
        <v/>
      </c>
      <c r="AC30" s="1417" t="str">
        <f t="shared" si="16"/>
        <v/>
      </c>
      <c r="AD30" s="1418" t="str">
        <f t="shared" si="17"/>
        <v/>
      </c>
      <c r="AE30" s="1414" t="str">
        <f>IF(I30="","",IF(ISNA(MATCH(I30,IF(pb_location_id=1,'[1]1_inventory_totals'!$C$8:$C$10000,IF(pb_location_id=2,'[1]2_inventory_totals'!$C$8:$C$10000,"")),0)),0,IF(AR30&gt;0,1,0)))</f>
        <v/>
      </c>
      <c r="AF30" s="1414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G30" s="1414" t="str">
        <f>IF(M30="","",IF(ISNA(MATCH(I30,'[1]1_group_totals'!$C$8:$C$10000)),0,IF(AS30&gt;0,1,0)))</f>
        <v/>
      </c>
      <c r="AH30" s="1414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I30" s="1414" t="str">
        <f>IF(M30="","",IF(AJ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J30" s="1414" t="str">
        <f>IF(M30="","",SUMIFS('1_group_totals'!$J$8:$J$10000,'[1]1_group_totals'!$C$8:$C$10000,I30,'1_group_totals'!$F$8:$F$10000,pb_location_group_id,'[1]1_group_totals'!$G$8:$G$10000,pb_location_id,'[1]1_group_totals'!$H$8:$H$10000,"="&amp;Q30,'[1]1_group_totals'!$I$8:$I$10000,"="&amp;R30))</f>
        <v/>
      </c>
      <c r="AK30" s="1414" t="str">
        <f t="shared" si="18"/>
        <v/>
      </c>
      <c r="AL30" s="1414" t="str">
        <f>IF(OR(ISNA(MATCH(MID(AK30,1,3)*1,UomConversion!$D$8:$D$500,0)),M30=""),"",IF(AP30="","",AP30))</f>
        <v/>
      </c>
      <c r="AM30" s="1414" t="str">
        <f>IF(AND(AN30&gt;0,COUNTIFS(UomConversion!$D$8:$D$500,MID(AK30,1,3)*1,UomConversion!$J$8:$J$500,1)&gt;1),TEXT(AN30,"000")&amp;"."&amp;VLOOKUP(AN30,uom_list,4,FALSE),"")</f>
        <v/>
      </c>
      <c r="AN30" s="1414" t="str">
        <f t="shared" si="19"/>
        <v/>
      </c>
      <c r="AO30" s="1414" t="str">
        <f t="shared" si="20"/>
        <v/>
      </c>
      <c r="AP30" s="126" t="str">
        <f t="shared" si="21"/>
        <v/>
      </c>
      <c r="AQ30" s="126" t="str" cm="1">
        <f t="array" ref="AQ30">IF(M30="","",IF(ISNA(Slookup(MID(AK30,1,3)*1,UomConversion!$D$8:$J$500,2,UomConversion!$I$8:$I$500,1,UomConversion!$J$8:$J$500,1)),"",Slookup(MID(AK30,1,3)*1,UomConversion!$D$8:$J$500,2,UomConversion!$I$8:$I$500,1,UomConversion!$J$8:$J$500,1)))</f>
        <v/>
      </c>
      <c r="AR30" s="13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S30" s="126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5" ht="27" customHeight="1">
      <c r="A31" s="765"/>
      <c r="B31" s="922"/>
      <c r="C31" s="984"/>
      <c r="D31" s="984"/>
      <c r="E31" s="984"/>
      <c r="F31" s="940"/>
      <c r="I31" s="426" t="str">
        <f t="shared" si="8"/>
        <v/>
      </c>
      <c r="J31" s="1412" t="str">
        <f t="shared" si="22"/>
        <v/>
      </c>
      <c r="K31" s="1320" t="str">
        <f t="shared" si="9"/>
        <v/>
      </c>
      <c r="L31" s="1321"/>
      <c r="M31" s="1413"/>
      <c r="N31" s="1322"/>
      <c r="O31" s="1322"/>
      <c r="P31" s="1413" t="str">
        <f t="shared" si="47"/>
        <v/>
      </c>
      <c r="Q31" s="1414"/>
      <c r="R31" s="1415"/>
      <c r="S31" s="1323" t="str">
        <f t="shared" ref="S31" si="87">IF(M31="","",pb_currency_symbol)</f>
        <v/>
      </c>
      <c r="T31" s="1422"/>
      <c r="U31" s="1324" t="str">
        <f t="shared" si="0"/>
        <v/>
      </c>
      <c r="V31" s="1323" t="str">
        <f t="shared" ref="V31" si="88">IF(W31=0,"",pb_currency_symbol)</f>
        <v/>
      </c>
      <c r="W31" s="1424"/>
      <c r="X31" s="1427" t="str">
        <f t="shared" ref="X31" si="89">IF(M31="","",pb_currency_symbol)</f>
        <v/>
      </c>
      <c r="Y31" s="1326" t="str">
        <f t="shared" si="13"/>
        <v/>
      </c>
      <c r="Z31" s="1426" t="str" cm="1">
        <f t="array" ref="Z31">IF(M31="","",IF(P31=AK31,1,Slookup(MID(AK31,1,3)*1,UomConversion!$D$8:$J$500,5,UomConversion!$E$8:$E$500,MID(P31,1,3)*1,UomConversion!$J$8:$J$500,1)))</f>
        <v/>
      </c>
      <c r="AA31" s="1414" t="str">
        <f t="shared" si="14"/>
        <v/>
      </c>
      <c r="AB31" s="1416" t="str">
        <f t="shared" si="15"/>
        <v/>
      </c>
      <c r="AC31" s="1417" t="str">
        <f t="shared" si="16"/>
        <v/>
      </c>
      <c r="AD31" s="1418" t="str">
        <f t="shared" si="17"/>
        <v/>
      </c>
      <c r="AE31" s="1414" t="str">
        <f>IF(I31="","",IF(ISNA(MATCH(I31,IF(pb_location_id=1,'[1]1_inventory_totals'!$C$8:$C$10000,IF(pb_location_id=2,'[1]2_inventory_totals'!$C$8:$C$10000,"")),0)),0,IF(AR31&gt;0,1,0)))</f>
        <v/>
      </c>
      <c r="AF31" s="1414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G31" s="1414" t="str">
        <f>IF(M31="","",IF(ISNA(MATCH(I31,'[1]1_group_totals'!$C$8:$C$10000)),0,IF(AS31&gt;0,1,0)))</f>
        <v/>
      </c>
      <c r="AH31" s="1414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I31" s="1414" t="str">
        <f>IF(M31="","",IF(AJ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J31" s="1414" t="str">
        <f>IF(M31="","",SUMIFS('1_group_totals'!$J$8:$J$10000,'[1]1_group_totals'!$C$8:$C$10000,I31,'1_group_totals'!$F$8:$F$10000,pb_location_group_id,'[1]1_group_totals'!$G$8:$G$10000,pb_location_id,'[1]1_group_totals'!$H$8:$H$10000,"="&amp;Q31,'[1]1_group_totals'!$I$8:$I$10000,"="&amp;R31))</f>
        <v/>
      </c>
      <c r="AK31" s="1414" t="str">
        <f t="shared" si="18"/>
        <v/>
      </c>
      <c r="AL31" s="1414" t="str">
        <f>IF(OR(ISNA(MATCH(MID(AK31,1,3)*1,UomConversion!$D$8:$D$500,0)),M31=""),"",IF(AP31="","",AP31))</f>
        <v/>
      </c>
      <c r="AM31" s="1414" t="str">
        <f>IF(AND(AN31&gt;0,COUNTIFS(UomConversion!$D$8:$D$500,MID(AK31,1,3)*1,UomConversion!$J$8:$J$500,1)&gt;1),TEXT(AN31,"000")&amp;"."&amp;VLOOKUP(AN31,uom_list,4,FALSE),"")</f>
        <v/>
      </c>
      <c r="AN31" s="1414" t="str">
        <f t="shared" si="19"/>
        <v/>
      </c>
      <c r="AO31" s="1414" t="str">
        <f t="shared" si="20"/>
        <v/>
      </c>
      <c r="AP31" s="126" t="str">
        <f t="shared" si="21"/>
        <v/>
      </c>
      <c r="AQ31" s="126" t="str" cm="1">
        <f t="array" ref="AQ31">IF(M31="","",IF(ISNA(Slookup(MID(AK31,1,3)*1,UomConversion!$D$8:$J$500,2,UomConversion!$I$8:$I$500,1,UomConversion!$J$8:$J$500,1)),"",Slookup(MID(AK31,1,3)*1,UomConversion!$D$8:$J$500,2,UomConversion!$I$8:$I$500,1,UomConversion!$J$8:$J$500,1)))</f>
        <v/>
      </c>
      <c r="AR31" s="13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S31" s="126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5" ht="27" customHeight="1">
      <c r="A32" s="765"/>
      <c r="B32" s="922"/>
      <c r="C32" s="984"/>
      <c r="D32" s="984"/>
      <c r="E32" s="984"/>
      <c r="F32" s="940"/>
      <c r="I32" s="426" t="str">
        <f t="shared" si="8"/>
        <v/>
      </c>
      <c r="J32" s="1412" t="str">
        <f t="shared" si="22"/>
        <v/>
      </c>
      <c r="K32" s="1320" t="str">
        <f t="shared" si="9"/>
        <v/>
      </c>
      <c r="L32" s="1321"/>
      <c r="M32" s="1413"/>
      <c r="N32" s="1322"/>
      <c r="O32" s="1322"/>
      <c r="P32" s="1413" t="str">
        <f t="shared" si="47"/>
        <v/>
      </c>
      <c r="Q32" s="1414"/>
      <c r="R32" s="1415"/>
      <c r="S32" s="1323" t="str">
        <f t="shared" ref="S32" si="90">IF(M32="","",pb_currency_symbol)</f>
        <v/>
      </c>
      <c r="T32" s="1422"/>
      <c r="U32" s="1324" t="str">
        <f t="shared" si="0"/>
        <v/>
      </c>
      <c r="V32" s="1323" t="str">
        <f t="shared" ref="V32" si="91">IF(W32=0,"",pb_currency_symbol)</f>
        <v/>
      </c>
      <c r="W32" s="1424"/>
      <c r="X32" s="1427" t="str">
        <f t="shared" ref="X32" si="92">IF(M32="","",pb_currency_symbol)</f>
        <v/>
      </c>
      <c r="Y32" s="1326" t="str">
        <f t="shared" si="13"/>
        <v/>
      </c>
      <c r="Z32" s="1426" t="str" cm="1">
        <f t="array" ref="Z32">IF(M32="","",IF(P32=AK32,1,Slookup(MID(AK32,1,3)*1,UomConversion!$D$8:$J$500,5,UomConversion!$E$8:$E$500,MID(P32,1,3)*1,UomConversion!$J$8:$J$500,1)))</f>
        <v/>
      </c>
      <c r="AA32" s="1414" t="str">
        <f t="shared" si="14"/>
        <v/>
      </c>
      <c r="AB32" s="1416" t="str">
        <f t="shared" si="15"/>
        <v/>
      </c>
      <c r="AC32" s="1417" t="str">
        <f t="shared" si="16"/>
        <v/>
      </c>
      <c r="AD32" s="1418" t="str">
        <f t="shared" si="17"/>
        <v/>
      </c>
      <c r="AE32" s="1414" t="str">
        <f>IF(I32="","",IF(ISNA(MATCH(I32,IF(pb_location_id=1,'[1]1_inventory_totals'!$C$8:$C$10000,IF(pb_location_id=2,'[1]2_inventory_totals'!$C$8:$C$10000,"")),0)),0,IF(AR32&gt;0,1,0)))</f>
        <v/>
      </c>
      <c r="AF32" s="1414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G32" s="1414" t="str">
        <f>IF(M32="","",IF(ISNA(MATCH(I32,'[1]1_group_totals'!$C$8:$C$10000)),0,IF(AS32&gt;0,1,0)))</f>
        <v/>
      </c>
      <c r="AH32" s="1414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I32" s="1414" t="str">
        <f>IF(M32="","",IF(AJ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J32" s="1414" t="str">
        <f>IF(M32="","",SUMIFS('1_group_totals'!$J$8:$J$10000,'[1]1_group_totals'!$C$8:$C$10000,I32,'1_group_totals'!$F$8:$F$10000,pb_location_group_id,'[1]1_group_totals'!$G$8:$G$10000,pb_location_id,'[1]1_group_totals'!$H$8:$H$10000,"="&amp;Q32,'[1]1_group_totals'!$I$8:$I$10000,"="&amp;R32))</f>
        <v/>
      </c>
      <c r="AK32" s="1414" t="str">
        <f t="shared" si="18"/>
        <v/>
      </c>
      <c r="AL32" s="1414" t="str">
        <f>IF(OR(ISNA(MATCH(MID(AK32,1,3)*1,UomConversion!$D$8:$D$500,0)),M32=""),"",IF(AP32="","",AP32))</f>
        <v/>
      </c>
      <c r="AM32" s="1414" t="str">
        <f>IF(AND(AN32&gt;0,COUNTIFS(UomConversion!$D$8:$D$500,MID(AK32,1,3)*1,UomConversion!$J$8:$J$500,1)&gt;1),TEXT(AN32,"000")&amp;"."&amp;VLOOKUP(AN32,uom_list,4,FALSE),"")</f>
        <v/>
      </c>
      <c r="AN32" s="1414" t="str">
        <f t="shared" si="19"/>
        <v/>
      </c>
      <c r="AO32" s="1414" t="str">
        <f t="shared" si="20"/>
        <v/>
      </c>
      <c r="AP32" s="126" t="str">
        <f t="shared" si="21"/>
        <v/>
      </c>
      <c r="AQ32" s="126" t="str" cm="1">
        <f t="array" ref="AQ32">IF(M32="","",IF(ISNA(Slookup(MID(AK32,1,3)*1,UomConversion!$D$8:$J$500,2,UomConversion!$I$8:$I$500,1,UomConversion!$J$8:$J$500,1)),"",Slookup(MID(AK32,1,3)*1,UomConversion!$D$8:$J$500,2,UomConversion!$I$8:$I$500,1,UomConversion!$J$8:$J$500,1)))</f>
        <v/>
      </c>
      <c r="AR32" s="13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S32" s="126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5" ht="27" customHeight="1">
      <c r="A33" s="765"/>
      <c r="B33" s="922"/>
      <c r="C33" s="984"/>
      <c r="D33" s="984"/>
      <c r="E33" s="984"/>
      <c r="F33" s="940"/>
      <c r="I33" s="426" t="str">
        <f t="shared" si="8"/>
        <v/>
      </c>
      <c r="J33" s="1412" t="str">
        <f t="shared" si="22"/>
        <v/>
      </c>
      <c r="K33" s="1320" t="str">
        <f t="shared" si="9"/>
        <v/>
      </c>
      <c r="L33" s="1321"/>
      <c r="M33" s="1413"/>
      <c r="N33" s="1322"/>
      <c r="O33" s="1322"/>
      <c r="P33" s="1413" t="str">
        <f t="shared" si="47"/>
        <v/>
      </c>
      <c r="Q33" s="1414"/>
      <c r="R33" s="1415"/>
      <c r="S33" s="1323" t="str">
        <f t="shared" ref="S33" si="93">IF(M33="","",pb_currency_symbol)</f>
        <v/>
      </c>
      <c r="T33" s="1422"/>
      <c r="U33" s="1324" t="str">
        <f t="shared" si="0"/>
        <v/>
      </c>
      <c r="V33" s="1323" t="str">
        <f t="shared" ref="V33" si="94">IF(W33=0,"",pb_currency_symbol)</f>
        <v/>
      </c>
      <c r="W33" s="1424"/>
      <c r="X33" s="1427" t="str">
        <f t="shared" ref="X33" si="95">IF(M33="","",pb_currency_symbol)</f>
        <v/>
      </c>
      <c r="Y33" s="1326" t="str">
        <f t="shared" si="13"/>
        <v/>
      </c>
      <c r="Z33" s="1426" t="str" cm="1">
        <f t="array" ref="Z33">IF(M33="","",IF(P33=AK33,1,Slookup(MID(AK33,1,3)*1,UomConversion!$D$8:$J$500,5,UomConversion!$E$8:$E$500,MID(P33,1,3)*1,UomConversion!$J$8:$J$500,1)))</f>
        <v/>
      </c>
      <c r="AA33" s="1414" t="str">
        <f t="shared" si="14"/>
        <v/>
      </c>
      <c r="AB33" s="1416" t="str">
        <f t="shared" si="15"/>
        <v/>
      </c>
      <c r="AC33" s="1417" t="str">
        <f t="shared" si="16"/>
        <v/>
      </c>
      <c r="AD33" s="1418" t="str">
        <f t="shared" si="17"/>
        <v/>
      </c>
      <c r="AE33" s="1414" t="str">
        <f>IF(I33="","",IF(ISNA(MATCH(I33,IF(pb_location_id=1,'[1]1_inventory_totals'!$C$8:$C$10000,IF(pb_location_id=2,'[1]2_inventory_totals'!$C$8:$C$10000,"")),0)),0,IF(AR33&gt;0,1,0)))</f>
        <v/>
      </c>
      <c r="AF33" s="1414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G33" s="1414" t="str">
        <f>IF(M33="","",IF(ISNA(MATCH(I33,'[1]1_group_totals'!$C$8:$C$10000)),0,IF(AS33&gt;0,1,0)))</f>
        <v/>
      </c>
      <c r="AH33" s="1414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I33" s="1414" t="str">
        <f>IF(M33="","",IF(AJ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J33" s="1414" t="str">
        <f>IF(M33="","",SUMIFS('1_group_totals'!$J$8:$J$10000,'[1]1_group_totals'!$C$8:$C$10000,I33,'1_group_totals'!$F$8:$F$10000,pb_location_group_id,'[1]1_group_totals'!$G$8:$G$10000,pb_location_id,'[1]1_group_totals'!$H$8:$H$10000,"="&amp;Q33,'[1]1_group_totals'!$I$8:$I$10000,"="&amp;R33))</f>
        <v/>
      </c>
      <c r="AK33" s="1414" t="str">
        <f t="shared" si="18"/>
        <v/>
      </c>
      <c r="AL33" s="1414" t="str">
        <f>IF(OR(ISNA(MATCH(MID(AK33,1,3)*1,UomConversion!$D$8:$D$500,0)),M33=""),"",IF(AP33="","",AP33))</f>
        <v/>
      </c>
      <c r="AM33" s="1414" t="str">
        <f>IF(AND(AN33&gt;0,COUNTIFS(UomConversion!$D$8:$D$500,MID(AK33,1,3)*1,UomConversion!$J$8:$J$500,1)&gt;1),TEXT(AN33,"000")&amp;"."&amp;VLOOKUP(AN33,uom_list,4,FALSE),"")</f>
        <v/>
      </c>
      <c r="AN33" s="1414" t="str">
        <f t="shared" si="19"/>
        <v/>
      </c>
      <c r="AO33" s="1414" t="str">
        <f t="shared" si="20"/>
        <v/>
      </c>
      <c r="AP33" s="126" t="str">
        <f t="shared" si="21"/>
        <v/>
      </c>
      <c r="AQ33" s="126" t="str" cm="1">
        <f t="array" ref="AQ33">IF(M33="","",IF(ISNA(Slookup(MID(AK33,1,3)*1,UomConversion!$D$8:$J$500,2,UomConversion!$I$8:$I$500,1,UomConversion!$J$8:$J$500,1)),"",Slookup(MID(AK33,1,3)*1,UomConversion!$D$8:$J$500,2,UomConversion!$I$8:$I$500,1,UomConversion!$J$8:$J$500,1)))</f>
        <v/>
      </c>
      <c r="AR33" s="13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S33" s="126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5" ht="27" customHeight="1">
      <c r="A34" s="765"/>
      <c r="B34" s="922"/>
      <c r="C34" s="984"/>
      <c r="D34" s="984"/>
      <c r="E34" s="984"/>
      <c r="F34" s="940"/>
      <c r="I34" s="426" t="str">
        <f t="shared" si="8"/>
        <v/>
      </c>
      <c r="J34" s="1412" t="str">
        <f t="shared" si="22"/>
        <v/>
      </c>
      <c r="K34" s="1320" t="str">
        <f t="shared" si="9"/>
        <v/>
      </c>
      <c r="L34" s="1321"/>
      <c r="M34" s="1413"/>
      <c r="N34" s="1322"/>
      <c r="O34" s="1322"/>
      <c r="P34" s="1413" t="str">
        <f t="shared" si="47"/>
        <v/>
      </c>
      <c r="Q34" s="1414"/>
      <c r="R34" s="1415"/>
      <c r="S34" s="1323" t="str">
        <f t="shared" ref="S34" si="96">IF(M34="","",pb_currency_symbol)</f>
        <v/>
      </c>
      <c r="T34" s="1422"/>
      <c r="U34" s="1324" t="str">
        <f t="shared" si="0"/>
        <v/>
      </c>
      <c r="V34" s="1323" t="str">
        <f t="shared" ref="V34" si="97">IF(W34=0,"",pb_currency_symbol)</f>
        <v/>
      </c>
      <c r="W34" s="1424"/>
      <c r="X34" s="1427" t="str">
        <f t="shared" ref="X34" si="98">IF(M34="","",pb_currency_symbol)</f>
        <v/>
      </c>
      <c r="Y34" s="1326" t="str">
        <f t="shared" si="13"/>
        <v/>
      </c>
      <c r="Z34" s="1426" t="str" cm="1">
        <f t="array" ref="Z34">IF(M34="","",IF(P34=AK34,1,Slookup(MID(AK34,1,3)*1,UomConversion!$D$8:$J$500,5,UomConversion!$E$8:$E$500,MID(P34,1,3)*1,UomConversion!$J$8:$J$500,1)))</f>
        <v/>
      </c>
      <c r="AA34" s="1414" t="str">
        <f t="shared" si="14"/>
        <v/>
      </c>
      <c r="AB34" s="1416" t="str">
        <f t="shared" si="15"/>
        <v/>
      </c>
      <c r="AC34" s="1417" t="str">
        <f t="shared" si="16"/>
        <v/>
      </c>
      <c r="AD34" s="1418" t="str">
        <f t="shared" si="17"/>
        <v/>
      </c>
      <c r="AE34" s="1414" t="str">
        <f>IF(I34="","",IF(ISNA(MATCH(I34,IF(pb_location_id=1,'[1]1_inventory_totals'!$C$8:$C$10000,IF(pb_location_id=2,'[1]2_inventory_totals'!$C$8:$C$10000,"")),0)),0,IF(AR34&gt;0,1,0)))</f>
        <v/>
      </c>
      <c r="AF34" s="1414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G34" s="1414" t="str">
        <f>IF(M34="","",IF(ISNA(MATCH(I34,'[1]1_group_totals'!$C$8:$C$10000)),0,IF(AS34&gt;0,1,0)))</f>
        <v/>
      </c>
      <c r="AH34" s="1414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I34" s="1414" t="str">
        <f>IF(M34="","",IF(AJ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J34" s="1414" t="str">
        <f>IF(M34="","",SUMIFS('1_group_totals'!$J$8:$J$10000,'[1]1_group_totals'!$C$8:$C$10000,I34,'1_group_totals'!$F$8:$F$10000,pb_location_group_id,'[1]1_group_totals'!$G$8:$G$10000,pb_location_id,'[1]1_group_totals'!$H$8:$H$10000,"="&amp;Q34,'[1]1_group_totals'!$I$8:$I$10000,"="&amp;R34))</f>
        <v/>
      </c>
      <c r="AK34" s="1414" t="str">
        <f t="shared" si="18"/>
        <v/>
      </c>
      <c r="AL34" s="1414" t="str">
        <f>IF(OR(ISNA(MATCH(MID(AK34,1,3)*1,UomConversion!$D$8:$D$500,0)),M34=""),"",IF(AP34="","",AP34))</f>
        <v/>
      </c>
      <c r="AM34" s="1414" t="str">
        <f>IF(AND(AN34&gt;0,COUNTIFS(UomConversion!$D$8:$D$500,MID(AK34,1,3)*1,UomConversion!$J$8:$J$500,1)&gt;1),TEXT(AN34,"000")&amp;"."&amp;VLOOKUP(AN34,uom_list,4,FALSE),"")</f>
        <v/>
      </c>
      <c r="AN34" s="1414" t="str">
        <f t="shared" si="19"/>
        <v/>
      </c>
      <c r="AO34" s="1414" t="str">
        <f t="shared" si="20"/>
        <v/>
      </c>
      <c r="AP34" s="126" t="str">
        <f t="shared" si="21"/>
        <v/>
      </c>
      <c r="AQ34" s="126" t="str" cm="1">
        <f t="array" ref="AQ34">IF(M34="","",IF(ISNA(Slookup(MID(AK34,1,3)*1,UomConversion!$D$8:$J$500,2,UomConversion!$I$8:$I$500,1,UomConversion!$J$8:$J$500,1)),"",Slookup(MID(AK34,1,3)*1,UomConversion!$D$8:$J$500,2,UomConversion!$I$8:$I$500,1,UomConversion!$J$8:$J$500,1)))</f>
        <v/>
      </c>
      <c r="AR34" s="13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S34" s="126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5" ht="27" customHeight="1">
      <c r="A35" s="765"/>
      <c r="B35" s="922"/>
      <c r="C35" s="984"/>
      <c r="D35" s="984"/>
      <c r="E35" s="984"/>
      <c r="F35" s="940"/>
      <c r="I35" s="426" t="str">
        <f t="shared" si="8"/>
        <v/>
      </c>
      <c r="J35" s="1412" t="str">
        <f t="shared" si="22"/>
        <v/>
      </c>
      <c r="K35" s="1320" t="str">
        <f t="shared" si="9"/>
        <v/>
      </c>
      <c r="L35" s="1321"/>
      <c r="M35" s="1413"/>
      <c r="N35" s="1322"/>
      <c r="O35" s="1322"/>
      <c r="P35" s="1413" t="str">
        <f t="shared" si="47"/>
        <v/>
      </c>
      <c r="Q35" s="1414"/>
      <c r="R35" s="1415"/>
      <c r="S35" s="1323" t="str">
        <f t="shared" ref="S35" si="99">IF(M35="","",pb_currency_symbol)</f>
        <v/>
      </c>
      <c r="T35" s="1422"/>
      <c r="U35" s="1324" t="str">
        <f t="shared" si="0"/>
        <v/>
      </c>
      <c r="V35" s="1323" t="str">
        <f t="shared" ref="V35" si="100">IF(W35=0,"",pb_currency_symbol)</f>
        <v/>
      </c>
      <c r="W35" s="1424"/>
      <c r="X35" s="1427" t="str">
        <f t="shared" ref="X35" si="101">IF(M35="","",pb_currency_symbol)</f>
        <v/>
      </c>
      <c r="Y35" s="1326" t="str">
        <f t="shared" si="13"/>
        <v/>
      </c>
      <c r="Z35" s="1426" t="str" cm="1">
        <f t="array" ref="Z35">IF(M35="","",IF(P35=AK35,1,Slookup(MID(AK35,1,3)*1,UomConversion!$D$8:$J$500,5,UomConversion!$E$8:$E$500,MID(P35,1,3)*1,UomConversion!$J$8:$J$500,1)))</f>
        <v/>
      </c>
      <c r="AA35" s="1414" t="str">
        <f t="shared" si="14"/>
        <v/>
      </c>
      <c r="AB35" s="1416" t="str">
        <f t="shared" si="15"/>
        <v/>
      </c>
      <c r="AC35" s="1417" t="str">
        <f t="shared" si="16"/>
        <v/>
      </c>
      <c r="AD35" s="1418" t="str">
        <f t="shared" si="17"/>
        <v/>
      </c>
      <c r="AE35" s="1414" t="str">
        <f>IF(I35="","",IF(ISNA(MATCH(I35,IF(pb_location_id=1,'[1]1_inventory_totals'!$C$8:$C$10000,IF(pb_location_id=2,'[1]2_inventory_totals'!$C$8:$C$10000,"")),0)),0,IF(AR35&gt;0,1,0)))</f>
        <v/>
      </c>
      <c r="AF35" s="1414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G35" s="1414" t="str">
        <f>IF(M35="","",IF(ISNA(MATCH(I35,'[1]1_group_totals'!$C$8:$C$10000)),0,IF(AS35&gt;0,1,0)))</f>
        <v/>
      </c>
      <c r="AH35" s="1414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I35" s="1414" t="str">
        <f>IF(M35="","",IF(AJ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J35" s="1414" t="str">
        <f>IF(M35="","",SUMIFS('1_group_totals'!$J$8:$J$10000,'[1]1_group_totals'!$C$8:$C$10000,I35,'1_group_totals'!$F$8:$F$10000,pb_location_group_id,'[1]1_group_totals'!$G$8:$G$10000,pb_location_id,'[1]1_group_totals'!$H$8:$H$10000,"="&amp;Q35,'[1]1_group_totals'!$I$8:$I$10000,"="&amp;R35))</f>
        <v/>
      </c>
      <c r="AK35" s="1414" t="str">
        <f t="shared" si="18"/>
        <v/>
      </c>
      <c r="AL35" s="1414" t="str">
        <f>IF(OR(ISNA(MATCH(MID(AK35,1,3)*1,UomConversion!$D$8:$D$500,0)),M35=""),"",IF(AP35="","",AP35))</f>
        <v/>
      </c>
      <c r="AM35" s="1414" t="str">
        <f>IF(AND(AN35&gt;0,COUNTIFS(UomConversion!$D$8:$D$500,MID(AK35,1,3)*1,UomConversion!$J$8:$J$500,1)&gt;1),TEXT(AN35,"000")&amp;"."&amp;VLOOKUP(AN35,uom_list,4,FALSE),"")</f>
        <v/>
      </c>
      <c r="AN35" s="1414" t="str">
        <f t="shared" si="19"/>
        <v/>
      </c>
      <c r="AO35" s="1414" t="str">
        <f t="shared" si="20"/>
        <v/>
      </c>
      <c r="AP35" s="126" t="str">
        <f t="shared" si="21"/>
        <v/>
      </c>
      <c r="AQ35" s="126" t="str" cm="1">
        <f t="array" ref="AQ35">IF(M35="","",IF(ISNA(Slookup(MID(AK35,1,3)*1,UomConversion!$D$8:$J$500,2,UomConversion!$I$8:$I$500,1,UomConversion!$J$8:$J$500,1)),"",Slookup(MID(AK35,1,3)*1,UomConversion!$D$8:$J$500,2,UomConversion!$I$8:$I$500,1,UomConversion!$J$8:$J$500,1)))</f>
        <v/>
      </c>
      <c r="AR35" s="13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S35" s="126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5" ht="27" customHeight="1">
      <c r="A36" s="765"/>
      <c r="B36" s="922"/>
      <c r="C36" s="984"/>
      <c r="D36" s="984"/>
      <c r="E36" s="984"/>
      <c r="F36" s="940"/>
      <c r="I36" s="426" t="str">
        <f t="shared" si="8"/>
        <v/>
      </c>
      <c r="J36" s="1412" t="str">
        <f t="shared" si="22"/>
        <v/>
      </c>
      <c r="K36" s="1320" t="str">
        <f t="shared" si="9"/>
        <v/>
      </c>
      <c r="L36" s="1321"/>
      <c r="M36" s="1413"/>
      <c r="N36" s="1322"/>
      <c r="O36" s="1322"/>
      <c r="P36" s="1413" t="str">
        <f t="shared" si="47"/>
        <v/>
      </c>
      <c r="Q36" s="1414"/>
      <c r="R36" s="1415"/>
      <c r="S36" s="1323" t="str">
        <f t="shared" ref="S36" si="102">IF(M36="","",pb_currency_symbol)</f>
        <v/>
      </c>
      <c r="T36" s="1422"/>
      <c r="U36" s="1324" t="str">
        <f t="shared" si="0"/>
        <v/>
      </c>
      <c r="V36" s="1323" t="str">
        <f t="shared" ref="V36" si="103">IF(W36=0,"",pb_currency_symbol)</f>
        <v/>
      </c>
      <c r="W36" s="1424"/>
      <c r="X36" s="1427" t="str">
        <f t="shared" ref="X36" si="104">IF(M36="","",pb_currency_symbol)</f>
        <v/>
      </c>
      <c r="Y36" s="1326" t="str">
        <f t="shared" si="13"/>
        <v/>
      </c>
      <c r="Z36" s="1426" t="str" cm="1">
        <f t="array" ref="Z36">IF(M36="","",IF(P36=AK36,1,Slookup(MID(AK36,1,3)*1,UomConversion!$D$8:$J$500,5,UomConversion!$E$8:$E$500,MID(P36,1,3)*1,UomConversion!$J$8:$J$500,1)))</f>
        <v/>
      </c>
      <c r="AA36" s="1414" t="str">
        <f t="shared" si="14"/>
        <v/>
      </c>
      <c r="AB36" s="1416" t="str">
        <f t="shared" si="15"/>
        <v/>
      </c>
      <c r="AC36" s="1417" t="str">
        <f t="shared" si="16"/>
        <v/>
      </c>
      <c r="AD36" s="1418" t="str">
        <f t="shared" si="17"/>
        <v/>
      </c>
      <c r="AE36" s="1414" t="str">
        <f>IF(I36="","",IF(ISNA(MATCH(I36,IF(pb_location_id=1,'[1]1_inventory_totals'!$C$8:$C$10000,IF(pb_location_id=2,'[1]2_inventory_totals'!$C$8:$C$10000,"")),0)),0,IF(AR36&gt;0,1,0)))</f>
        <v/>
      </c>
      <c r="AF36" s="1414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G36" s="1414" t="str">
        <f>IF(M36="","",IF(ISNA(MATCH(I36,'[1]1_group_totals'!$C$8:$C$10000)),0,IF(AS36&gt;0,1,0)))</f>
        <v/>
      </c>
      <c r="AH36" s="1414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I36" s="1414" t="str">
        <f>IF(M36="","",IF(AJ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J36" s="1414" t="str">
        <f>IF(M36="","",SUMIFS('1_group_totals'!$J$8:$J$10000,'[1]1_group_totals'!$C$8:$C$10000,I36,'1_group_totals'!$F$8:$F$10000,pb_location_group_id,'[1]1_group_totals'!$G$8:$G$10000,pb_location_id,'[1]1_group_totals'!$H$8:$H$10000,"="&amp;Q36,'[1]1_group_totals'!$I$8:$I$10000,"="&amp;R36))</f>
        <v/>
      </c>
      <c r="AK36" s="1414" t="str">
        <f t="shared" si="18"/>
        <v/>
      </c>
      <c r="AL36" s="1414" t="str">
        <f>IF(OR(ISNA(MATCH(MID(AK36,1,3)*1,UomConversion!$D$8:$D$500,0)),M36=""),"",IF(AP36="","",AP36))</f>
        <v/>
      </c>
      <c r="AM36" s="1414" t="str">
        <f>IF(AND(AN36&gt;0,COUNTIFS(UomConversion!$D$8:$D$500,MID(AK36,1,3)*1,UomConversion!$J$8:$J$500,1)&gt;1),TEXT(AN36,"000")&amp;"."&amp;VLOOKUP(AN36,uom_list,4,FALSE),"")</f>
        <v/>
      </c>
      <c r="AN36" s="1414" t="str">
        <f t="shared" si="19"/>
        <v/>
      </c>
      <c r="AO36" s="1414" t="str">
        <f t="shared" si="20"/>
        <v/>
      </c>
      <c r="AP36" s="126" t="str">
        <f t="shared" si="21"/>
        <v/>
      </c>
      <c r="AQ36" s="126" t="str" cm="1">
        <f t="array" ref="AQ36">IF(M36="","",IF(ISNA(Slookup(MID(AK36,1,3)*1,UomConversion!$D$8:$J$500,2,UomConversion!$I$8:$I$500,1,UomConversion!$J$8:$J$500,1)),"",Slookup(MID(AK36,1,3)*1,UomConversion!$D$8:$J$500,2,UomConversion!$I$8:$I$500,1,UomConversion!$J$8:$J$500,1)))</f>
        <v/>
      </c>
      <c r="AR36" s="13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S36" s="126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5" ht="27" customHeight="1">
      <c r="A37" s="765"/>
      <c r="B37" s="922"/>
      <c r="C37" s="984"/>
      <c r="D37" s="984"/>
      <c r="E37" s="984"/>
      <c r="F37" s="940"/>
      <c r="I37" s="426" t="str">
        <f t="shared" si="8"/>
        <v/>
      </c>
      <c r="J37" s="1412" t="str">
        <f t="shared" si="22"/>
        <v/>
      </c>
      <c r="K37" s="1320" t="str">
        <f t="shared" si="9"/>
        <v/>
      </c>
      <c r="L37" s="1321"/>
      <c r="M37" s="1413"/>
      <c r="N37" s="1322"/>
      <c r="O37" s="1322"/>
      <c r="P37" s="1413" t="str">
        <f t="shared" si="47"/>
        <v/>
      </c>
      <c r="Q37" s="1414"/>
      <c r="R37" s="1415"/>
      <c r="S37" s="1323" t="str">
        <f t="shared" ref="S37" si="105">IF(M37="","",pb_currency_symbol)</f>
        <v/>
      </c>
      <c r="T37" s="1422"/>
      <c r="U37" s="1324" t="str">
        <f t="shared" si="0"/>
        <v/>
      </c>
      <c r="V37" s="1323" t="str">
        <f t="shared" ref="V37" si="106">IF(W37=0,"",pb_currency_symbol)</f>
        <v/>
      </c>
      <c r="W37" s="1424"/>
      <c r="X37" s="1427" t="str">
        <f t="shared" ref="X37" si="107">IF(M37="","",pb_currency_symbol)</f>
        <v/>
      </c>
      <c r="Y37" s="1326" t="str">
        <f t="shared" si="13"/>
        <v/>
      </c>
      <c r="Z37" s="1426" t="str" cm="1">
        <f t="array" ref="Z37">IF(M37="","",IF(P37=AK37,1,Slookup(MID(AK37,1,3)*1,UomConversion!$D$8:$J$500,5,UomConversion!$E$8:$E$500,MID(P37,1,3)*1,UomConversion!$J$8:$J$500,1)))</f>
        <v/>
      </c>
      <c r="AA37" s="1414" t="str">
        <f t="shared" si="14"/>
        <v/>
      </c>
      <c r="AB37" s="1416" t="str">
        <f t="shared" si="15"/>
        <v/>
      </c>
      <c r="AC37" s="1417" t="str">
        <f t="shared" si="16"/>
        <v/>
      </c>
      <c r="AD37" s="1418" t="str">
        <f t="shared" si="17"/>
        <v/>
      </c>
      <c r="AE37" s="1414" t="str">
        <f>IF(I37="","",IF(ISNA(MATCH(I37,IF(pb_location_id=1,'[1]1_inventory_totals'!$C$8:$C$10000,IF(pb_location_id=2,'[1]2_inventory_totals'!$C$8:$C$10000,"")),0)),0,IF(AR37&gt;0,1,0)))</f>
        <v/>
      </c>
      <c r="AF37" s="1414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G37" s="1414" t="str">
        <f>IF(M37="","",IF(ISNA(MATCH(I37,'[1]1_group_totals'!$C$8:$C$10000)),0,IF(AS37&gt;0,1,0)))</f>
        <v/>
      </c>
      <c r="AH37" s="1414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I37" s="1414" t="str">
        <f>IF(M37="","",IF(AJ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J37" s="1414" t="str">
        <f>IF(M37="","",SUMIFS('1_group_totals'!$J$8:$J$10000,'[1]1_group_totals'!$C$8:$C$10000,I37,'1_group_totals'!$F$8:$F$10000,pb_location_group_id,'[1]1_group_totals'!$G$8:$G$10000,pb_location_id,'[1]1_group_totals'!$H$8:$H$10000,"="&amp;Q37,'[1]1_group_totals'!$I$8:$I$10000,"="&amp;R37))</f>
        <v/>
      </c>
      <c r="AK37" s="1414" t="str">
        <f t="shared" si="18"/>
        <v/>
      </c>
      <c r="AL37" s="1414" t="str">
        <f>IF(OR(ISNA(MATCH(MID(AK37,1,3)*1,UomConversion!$D$8:$D$500,0)),M37=""),"",IF(AP37="","",AP37))</f>
        <v/>
      </c>
      <c r="AM37" s="1414" t="str">
        <f>IF(AND(AN37&gt;0,COUNTIFS(UomConversion!$D$8:$D$500,MID(AK37,1,3)*1,UomConversion!$J$8:$J$500,1)&gt;1),TEXT(AN37,"000")&amp;"."&amp;VLOOKUP(AN37,uom_list,4,FALSE),"")</f>
        <v/>
      </c>
      <c r="AN37" s="1414" t="str">
        <f t="shared" si="19"/>
        <v/>
      </c>
      <c r="AO37" s="1414" t="str">
        <f t="shared" si="20"/>
        <v/>
      </c>
      <c r="AP37" s="126" t="str">
        <f t="shared" si="21"/>
        <v/>
      </c>
      <c r="AQ37" s="126" t="str" cm="1">
        <f t="array" ref="AQ37">IF(M37="","",IF(ISNA(Slookup(MID(AK37,1,3)*1,UomConversion!$D$8:$J$500,2,UomConversion!$I$8:$I$500,1,UomConversion!$J$8:$J$500,1)),"",Slookup(MID(AK37,1,3)*1,UomConversion!$D$8:$J$500,2,UomConversion!$I$8:$I$500,1,UomConversion!$J$8:$J$500,1)))</f>
        <v/>
      </c>
      <c r="AR37" s="13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S37" s="126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5" ht="27" customHeight="1">
      <c r="A38" s="765"/>
      <c r="B38" s="922"/>
      <c r="C38" s="984"/>
      <c r="D38" s="984"/>
      <c r="E38" s="984"/>
      <c r="F38" s="940"/>
      <c r="I38" s="426" t="str">
        <f t="shared" si="8"/>
        <v/>
      </c>
      <c r="J38" s="1412" t="str">
        <f t="shared" si="22"/>
        <v/>
      </c>
      <c r="K38" s="1320" t="str">
        <f t="shared" si="9"/>
        <v/>
      </c>
      <c r="L38" s="1321"/>
      <c r="M38" s="1413"/>
      <c r="N38" s="1322"/>
      <c r="O38" s="1322"/>
      <c r="P38" s="1413" t="str">
        <f t="shared" si="47"/>
        <v/>
      </c>
      <c r="Q38" s="1414"/>
      <c r="R38" s="1415"/>
      <c r="S38" s="1323" t="str">
        <f t="shared" ref="S38" si="108">IF(M38="","",pb_currency_symbol)</f>
        <v/>
      </c>
      <c r="T38" s="1422"/>
      <c r="U38" s="1324" t="str">
        <f t="shared" si="0"/>
        <v/>
      </c>
      <c r="V38" s="1323" t="str">
        <f t="shared" ref="V38" si="109">IF(W38=0,"",pb_currency_symbol)</f>
        <v/>
      </c>
      <c r="W38" s="1424"/>
      <c r="X38" s="1427" t="str">
        <f t="shared" ref="X38" si="110">IF(M38="","",pb_currency_symbol)</f>
        <v/>
      </c>
      <c r="Y38" s="1326" t="str">
        <f t="shared" si="13"/>
        <v/>
      </c>
      <c r="Z38" s="1426" t="str" cm="1">
        <f t="array" ref="Z38">IF(M38="","",IF(P38=AK38,1,Slookup(MID(AK38,1,3)*1,UomConversion!$D$8:$J$500,5,UomConversion!$E$8:$E$500,MID(P38,1,3)*1,UomConversion!$J$8:$J$500,1)))</f>
        <v/>
      </c>
      <c r="AA38" s="1414" t="str">
        <f t="shared" si="14"/>
        <v/>
      </c>
      <c r="AB38" s="1416" t="str">
        <f t="shared" si="15"/>
        <v/>
      </c>
      <c r="AC38" s="1417" t="str">
        <f t="shared" si="16"/>
        <v/>
      </c>
      <c r="AD38" s="1418" t="str">
        <f t="shared" si="17"/>
        <v/>
      </c>
      <c r="AE38" s="1414" t="str">
        <f>IF(I38="","",IF(ISNA(MATCH(I38,IF(pb_location_id=1,'[1]1_inventory_totals'!$C$8:$C$10000,IF(pb_location_id=2,'[1]2_inventory_totals'!$C$8:$C$10000,"")),0)),0,IF(AR38&gt;0,1,0)))</f>
        <v/>
      </c>
      <c r="AF38" s="1414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G38" s="1414" t="str">
        <f>IF(M38="","",IF(ISNA(MATCH(I38,'[1]1_group_totals'!$C$8:$C$10000)),0,IF(AS38&gt;0,1,0)))</f>
        <v/>
      </c>
      <c r="AH38" s="1414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I38" s="1414" t="str">
        <f>IF(M38="","",IF(AJ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J38" s="1414" t="str">
        <f>IF(M38="","",SUMIFS('1_group_totals'!$J$8:$J$10000,'[1]1_group_totals'!$C$8:$C$10000,I38,'1_group_totals'!$F$8:$F$10000,pb_location_group_id,'[1]1_group_totals'!$G$8:$G$10000,pb_location_id,'[1]1_group_totals'!$H$8:$H$10000,"="&amp;Q38,'[1]1_group_totals'!$I$8:$I$10000,"="&amp;R38))</f>
        <v/>
      </c>
      <c r="AK38" s="1414" t="str">
        <f t="shared" si="18"/>
        <v/>
      </c>
      <c r="AL38" s="1414" t="str">
        <f>IF(OR(ISNA(MATCH(MID(AK38,1,3)*1,UomConversion!$D$8:$D$500,0)),M38=""),"",IF(AP38="","",AP38))</f>
        <v/>
      </c>
      <c r="AM38" s="1414" t="str">
        <f>IF(AND(AN38&gt;0,COUNTIFS(UomConversion!$D$8:$D$500,MID(AK38,1,3)*1,UomConversion!$J$8:$J$500,1)&gt;1),TEXT(AN38,"000")&amp;"."&amp;VLOOKUP(AN38,uom_list,4,FALSE),"")</f>
        <v/>
      </c>
      <c r="AN38" s="1414" t="str">
        <f t="shared" si="19"/>
        <v/>
      </c>
      <c r="AO38" s="1414" t="str">
        <f t="shared" si="20"/>
        <v/>
      </c>
      <c r="AP38" s="126" t="str">
        <f t="shared" si="21"/>
        <v/>
      </c>
      <c r="AQ38" s="126" t="str" cm="1">
        <f t="array" ref="AQ38">IF(M38="","",IF(ISNA(Slookup(MID(AK38,1,3)*1,UomConversion!$D$8:$J$500,2,UomConversion!$I$8:$I$500,1,UomConversion!$J$8:$J$500,1)),"",Slookup(MID(AK38,1,3)*1,UomConversion!$D$8:$J$500,2,UomConversion!$I$8:$I$500,1,UomConversion!$J$8:$J$500,1)))</f>
        <v/>
      </c>
      <c r="AR38" s="13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S38" s="126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5" ht="27" customHeight="1">
      <c r="A39" s="765"/>
      <c r="B39" s="922"/>
      <c r="C39" s="984"/>
      <c r="D39" s="984"/>
      <c r="E39" s="984"/>
      <c r="F39" s="940"/>
      <c r="I39" s="426" t="str">
        <f t="shared" si="8"/>
        <v/>
      </c>
      <c r="J39" s="1412" t="str">
        <f t="shared" si="22"/>
        <v/>
      </c>
      <c r="K39" s="1320" t="str">
        <f t="shared" si="9"/>
        <v/>
      </c>
      <c r="L39" s="1321"/>
      <c r="M39" s="1413"/>
      <c r="N39" s="1322"/>
      <c r="O39" s="1322"/>
      <c r="P39" s="1413" t="str">
        <f t="shared" si="47"/>
        <v/>
      </c>
      <c r="Q39" s="1414"/>
      <c r="R39" s="1415"/>
      <c r="S39" s="1323" t="str">
        <f t="shared" ref="S39" si="111">IF(M39="","",pb_currency_symbol)</f>
        <v/>
      </c>
      <c r="T39" s="1422"/>
      <c r="U39" s="1324" t="str">
        <f t="shared" si="0"/>
        <v/>
      </c>
      <c r="V39" s="1323" t="str">
        <f t="shared" ref="V39" si="112">IF(W39=0,"",pb_currency_symbol)</f>
        <v/>
      </c>
      <c r="W39" s="1424"/>
      <c r="X39" s="1427" t="str">
        <f t="shared" ref="X39" si="113">IF(M39="","",pb_currency_symbol)</f>
        <v/>
      </c>
      <c r="Y39" s="1326" t="str">
        <f t="shared" si="13"/>
        <v/>
      </c>
      <c r="Z39" s="1426" t="str" cm="1">
        <f t="array" ref="Z39">IF(M39="","",IF(P39=AK39,1,Slookup(MID(AK39,1,3)*1,UomConversion!$D$8:$J$500,5,UomConversion!$E$8:$E$500,MID(P39,1,3)*1,UomConversion!$J$8:$J$500,1)))</f>
        <v/>
      </c>
      <c r="AA39" s="1414" t="str">
        <f t="shared" si="14"/>
        <v/>
      </c>
      <c r="AB39" s="1416" t="str">
        <f t="shared" si="15"/>
        <v/>
      </c>
      <c r="AC39" s="1417" t="str">
        <f t="shared" si="16"/>
        <v/>
      </c>
      <c r="AD39" s="1418" t="str">
        <f t="shared" si="17"/>
        <v/>
      </c>
      <c r="AE39" s="1414" t="str">
        <f>IF(I39="","",IF(ISNA(MATCH(I39,IF(pb_location_id=1,'[1]1_inventory_totals'!$C$8:$C$10000,IF(pb_location_id=2,'[1]2_inventory_totals'!$C$8:$C$10000,"")),0)),0,IF(AR39&gt;0,1,0)))</f>
        <v/>
      </c>
      <c r="AF39" s="1414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G39" s="1414" t="str">
        <f>IF(M39="","",IF(ISNA(MATCH(I39,'[1]1_group_totals'!$C$8:$C$10000)),0,IF(AS39&gt;0,1,0)))</f>
        <v/>
      </c>
      <c r="AH39" s="1414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I39" s="1414" t="str">
        <f>IF(M39="","",IF(AJ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J39" s="1414" t="str">
        <f>IF(M39="","",SUMIFS('1_group_totals'!$J$8:$J$10000,'[1]1_group_totals'!$C$8:$C$10000,I39,'1_group_totals'!$F$8:$F$10000,pb_location_group_id,'[1]1_group_totals'!$G$8:$G$10000,pb_location_id,'[1]1_group_totals'!$H$8:$H$10000,"="&amp;Q39,'[1]1_group_totals'!$I$8:$I$10000,"="&amp;R39))</f>
        <v/>
      </c>
      <c r="AK39" s="1414" t="str">
        <f t="shared" si="18"/>
        <v/>
      </c>
      <c r="AL39" s="1414" t="str">
        <f>IF(OR(ISNA(MATCH(MID(AK39,1,3)*1,UomConversion!$D$8:$D$500,0)),M39=""),"",IF(AP39="","",AP39))</f>
        <v/>
      </c>
      <c r="AM39" s="1414" t="str">
        <f>IF(AND(AN39&gt;0,COUNTIFS(UomConversion!$D$8:$D$500,MID(AK39,1,3)*1,UomConversion!$J$8:$J$500,1)&gt;1),TEXT(AN39,"000")&amp;"."&amp;VLOOKUP(AN39,uom_list,4,FALSE),"")</f>
        <v/>
      </c>
      <c r="AN39" s="1414" t="str">
        <f t="shared" si="19"/>
        <v/>
      </c>
      <c r="AO39" s="1414" t="str">
        <f t="shared" si="20"/>
        <v/>
      </c>
      <c r="AP39" s="126" t="str">
        <f t="shared" si="21"/>
        <v/>
      </c>
      <c r="AQ39" s="126" t="str" cm="1">
        <f t="array" ref="AQ39">IF(M39="","",IF(ISNA(Slookup(MID(AK39,1,3)*1,UomConversion!$D$8:$J$500,2,UomConversion!$I$8:$I$500,1,UomConversion!$J$8:$J$500,1)),"",Slookup(MID(AK39,1,3)*1,UomConversion!$D$8:$J$500,2,UomConversion!$I$8:$I$500,1,UomConversion!$J$8:$J$500,1)))</f>
        <v/>
      </c>
      <c r="AR39" s="13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S39" s="126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5" ht="27" customHeight="1">
      <c r="A40" s="765"/>
      <c r="B40" s="922"/>
      <c r="C40" s="984"/>
      <c r="D40" s="984"/>
      <c r="E40" s="984"/>
      <c r="F40" s="940"/>
      <c r="I40" s="426" t="str">
        <f t="shared" si="8"/>
        <v/>
      </c>
      <c r="J40" s="1412" t="str">
        <f t="shared" si="22"/>
        <v/>
      </c>
      <c r="K40" s="1320" t="str">
        <f t="shared" si="9"/>
        <v/>
      </c>
      <c r="L40" s="1321"/>
      <c r="M40" s="1413"/>
      <c r="N40" s="1322"/>
      <c r="O40" s="1322"/>
      <c r="P40" s="1413" t="str">
        <f t="shared" si="47"/>
        <v/>
      </c>
      <c r="Q40" s="1414"/>
      <c r="R40" s="1415"/>
      <c r="S40" s="1323" t="str">
        <f t="shared" ref="S40" si="114">IF(M40="","",pb_currency_symbol)</f>
        <v/>
      </c>
      <c r="T40" s="1422"/>
      <c r="U40" s="1324" t="str">
        <f t="shared" ref="U40:U71" si="115">IF(M40="","",IF(P40=AK40,AC40,IF(P40=AL40,ROUND(AC40/Z40,9),IF(P40=AM40,ROUND(AC40/AA40,9)))))</f>
        <v/>
      </c>
      <c r="V40" s="1323" t="str">
        <f t="shared" ref="V40" si="116">IF(W40=0,"",pb_currency_symbol)</f>
        <v/>
      </c>
      <c r="W40" s="1424"/>
      <c r="X40" s="1427" t="str">
        <f t="shared" ref="X40" si="117">IF(M40="","",pb_currency_symbol)</f>
        <v/>
      </c>
      <c r="Y40" s="1326" t="str">
        <f t="shared" si="13"/>
        <v/>
      </c>
      <c r="Z40" s="1426" t="str" cm="1">
        <f t="array" ref="Z40">IF(M40="","",IF(P40=AK40,1,Slookup(MID(AK40,1,3)*1,UomConversion!$D$8:$J$500,5,UomConversion!$E$8:$E$500,MID(P40,1,3)*1,UomConversion!$J$8:$J$500,1)))</f>
        <v/>
      </c>
      <c r="AA40" s="1414" t="str">
        <f t="shared" si="14"/>
        <v/>
      </c>
      <c r="AB40" s="1416" t="str">
        <f t="shared" si="15"/>
        <v/>
      </c>
      <c r="AC40" s="1417" t="str">
        <f t="shared" si="16"/>
        <v/>
      </c>
      <c r="AD40" s="1418" t="str">
        <f t="shared" si="17"/>
        <v/>
      </c>
      <c r="AE40" s="1414" t="str">
        <f>IF(I40="","",IF(ISNA(MATCH(I40,IF(pb_location_id=1,'[1]1_inventory_totals'!$C$8:$C$10000,IF(pb_location_id=2,'[1]2_inventory_totals'!$C$8:$C$10000,"")),0)),0,IF(AR40&gt;0,1,0)))</f>
        <v/>
      </c>
      <c r="AF40" s="1414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G40" s="1414" t="str">
        <f>IF(M40="","",IF(ISNA(MATCH(I40,'[1]1_group_totals'!$C$8:$C$10000)),0,IF(AS40&gt;0,1,0)))</f>
        <v/>
      </c>
      <c r="AH40" s="1414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I40" s="1414" t="str">
        <f>IF(M40="","",IF(AJ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J40" s="1414" t="str">
        <f>IF(M40="","",SUMIFS('1_group_totals'!$J$8:$J$10000,'[1]1_group_totals'!$C$8:$C$10000,I40,'1_group_totals'!$F$8:$F$10000,pb_location_group_id,'[1]1_group_totals'!$G$8:$G$10000,pb_location_id,'[1]1_group_totals'!$H$8:$H$10000,"="&amp;Q40,'[1]1_group_totals'!$I$8:$I$10000,"="&amp;R40))</f>
        <v/>
      </c>
      <c r="AK40" s="1414" t="str">
        <f t="shared" si="18"/>
        <v/>
      </c>
      <c r="AL40" s="1414" t="str">
        <f>IF(OR(ISNA(MATCH(MID(AK40,1,3)*1,UomConversion!$D$8:$D$500,0)),M40=""),"",IF(AP40="","",AP40))</f>
        <v/>
      </c>
      <c r="AM40" s="1414" t="str">
        <f>IF(AND(AN40&gt;0,COUNTIFS(UomConversion!$D$8:$D$500,MID(AK40,1,3)*1,UomConversion!$J$8:$J$500,1)&gt;1),TEXT(AN40,"000")&amp;"."&amp;VLOOKUP(AN40,uom_list,4,FALSE),"")</f>
        <v/>
      </c>
      <c r="AN40" s="1414" t="str">
        <f t="shared" si="19"/>
        <v/>
      </c>
      <c r="AO40" s="1414" t="str">
        <f t="shared" si="20"/>
        <v/>
      </c>
      <c r="AP40" s="126" t="str">
        <f t="shared" si="21"/>
        <v/>
      </c>
      <c r="AQ40" s="126" t="str" cm="1">
        <f t="array" ref="AQ40">IF(M40="","",IF(ISNA(Slookup(MID(AK40,1,3)*1,UomConversion!$D$8:$J$500,2,UomConversion!$I$8:$I$500,1,UomConversion!$J$8:$J$500,1)),"",Slookup(MID(AK40,1,3)*1,UomConversion!$D$8:$J$500,2,UomConversion!$I$8:$I$500,1,UomConversion!$J$8:$J$500,1)))</f>
        <v/>
      </c>
      <c r="AR40" s="13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S40" s="126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5" ht="27" customHeight="1">
      <c r="A41" s="765"/>
      <c r="B41" s="922"/>
      <c r="C41" s="984"/>
      <c r="D41" s="984"/>
      <c r="E41" s="984"/>
      <c r="F41" s="940"/>
      <c r="I41" s="426" t="str">
        <f t="shared" si="8"/>
        <v/>
      </c>
      <c r="J41" s="1412" t="str">
        <f t="shared" si="22"/>
        <v/>
      </c>
      <c r="K41" s="1320" t="str">
        <f t="shared" si="9"/>
        <v/>
      </c>
      <c r="L41" s="1321"/>
      <c r="M41" s="1413"/>
      <c r="N41" s="1322"/>
      <c r="O41" s="1322"/>
      <c r="P41" s="1413" t="str">
        <f t="shared" si="47"/>
        <v/>
      </c>
      <c r="Q41" s="1414"/>
      <c r="R41" s="1415"/>
      <c r="S41" s="1323" t="str">
        <f t="shared" ref="S41" si="118">IF(M41="","",pb_currency_symbol)</f>
        <v/>
      </c>
      <c r="T41" s="1422"/>
      <c r="U41" s="1324" t="str">
        <f t="shared" si="115"/>
        <v/>
      </c>
      <c r="V41" s="1323" t="str">
        <f t="shared" ref="V41" si="119">IF(W41=0,"",pb_currency_symbol)</f>
        <v/>
      </c>
      <c r="W41" s="1424"/>
      <c r="X41" s="1427" t="str">
        <f t="shared" ref="X41" si="120">IF(M41="","",pb_currency_symbol)</f>
        <v/>
      </c>
      <c r="Y41" s="1326" t="str">
        <f t="shared" si="13"/>
        <v/>
      </c>
      <c r="Z41" s="1426" t="str" cm="1">
        <f t="array" ref="Z41">IF(M41="","",IF(P41=AK41,1,Slookup(MID(AK41,1,3)*1,UomConversion!$D$8:$J$500,5,UomConversion!$E$8:$E$500,MID(P41,1,3)*1,UomConversion!$J$8:$J$500,1)))</f>
        <v/>
      </c>
      <c r="AA41" s="1414" t="str">
        <f t="shared" si="14"/>
        <v/>
      </c>
      <c r="AB41" s="1416" t="str">
        <f t="shared" si="15"/>
        <v/>
      </c>
      <c r="AC41" s="1417" t="str">
        <f t="shared" si="16"/>
        <v/>
      </c>
      <c r="AD41" s="1418" t="str">
        <f t="shared" si="17"/>
        <v/>
      </c>
      <c r="AE41" s="1414" t="str">
        <f>IF(I41="","",IF(ISNA(MATCH(I41,IF(pb_location_id=1,'[1]1_inventory_totals'!$C$8:$C$10000,IF(pb_location_id=2,'[1]2_inventory_totals'!$C$8:$C$10000,"")),0)),0,IF(AR41&gt;0,1,0)))</f>
        <v/>
      </c>
      <c r="AF41" s="1414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G41" s="1414" t="str">
        <f>IF(M41="","",IF(ISNA(MATCH(I41,'[1]1_group_totals'!$C$8:$C$10000)),0,IF(AS41&gt;0,1,0)))</f>
        <v/>
      </c>
      <c r="AH41" s="1414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I41" s="1414" t="str">
        <f>IF(M41="","",IF(AJ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J41" s="1414" t="str">
        <f>IF(M41="","",SUMIFS('1_group_totals'!$J$8:$J$10000,'[1]1_group_totals'!$C$8:$C$10000,I41,'1_group_totals'!$F$8:$F$10000,pb_location_group_id,'[1]1_group_totals'!$G$8:$G$10000,pb_location_id,'[1]1_group_totals'!$H$8:$H$10000,"="&amp;Q41,'[1]1_group_totals'!$I$8:$I$10000,"="&amp;R41))</f>
        <v/>
      </c>
      <c r="AK41" s="1414" t="str">
        <f t="shared" si="18"/>
        <v/>
      </c>
      <c r="AL41" s="1414" t="str">
        <f>IF(OR(ISNA(MATCH(MID(AK41,1,3)*1,UomConversion!$D$8:$D$500,0)),M41=""),"",IF(AP41="","",AP41))</f>
        <v/>
      </c>
      <c r="AM41" s="1414" t="str">
        <f>IF(AND(AN41&gt;0,COUNTIFS(UomConversion!$D$8:$D$500,MID(AK41,1,3)*1,UomConversion!$J$8:$J$500,1)&gt;1),TEXT(AN41,"000")&amp;"."&amp;VLOOKUP(AN41,uom_list,4,FALSE),"")</f>
        <v/>
      </c>
      <c r="AN41" s="1414" t="str">
        <f t="shared" si="19"/>
        <v/>
      </c>
      <c r="AO41" s="1414" t="str">
        <f t="shared" si="20"/>
        <v/>
      </c>
      <c r="AP41" s="126" t="str">
        <f t="shared" si="21"/>
        <v/>
      </c>
      <c r="AQ41" s="126" t="str" cm="1">
        <f t="array" ref="AQ41">IF(M41="","",IF(ISNA(Slookup(MID(AK41,1,3)*1,UomConversion!$D$8:$J$500,2,UomConversion!$I$8:$I$500,1,UomConversion!$J$8:$J$500,1)),"",Slookup(MID(AK41,1,3)*1,UomConversion!$D$8:$J$500,2,UomConversion!$I$8:$I$500,1,UomConversion!$J$8:$J$500,1)))</f>
        <v/>
      </c>
      <c r="AR41" s="13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S41" s="126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5" ht="27" customHeight="1">
      <c r="A42" s="765"/>
      <c r="B42" s="922"/>
      <c r="C42" s="984"/>
      <c r="D42" s="984"/>
      <c r="E42" s="984"/>
      <c r="F42" s="940"/>
      <c r="I42" s="426" t="str">
        <f t="shared" si="8"/>
        <v/>
      </c>
      <c r="J42" s="1412" t="str">
        <f t="shared" si="22"/>
        <v/>
      </c>
      <c r="K42" s="1320" t="str">
        <f t="shared" si="9"/>
        <v/>
      </c>
      <c r="L42" s="1321"/>
      <c r="M42" s="1413"/>
      <c r="N42" s="1322"/>
      <c r="O42" s="1322"/>
      <c r="P42" s="1413" t="str">
        <f t="shared" si="47"/>
        <v/>
      </c>
      <c r="Q42" s="1414"/>
      <c r="R42" s="1415"/>
      <c r="S42" s="1323" t="str">
        <f t="shared" ref="S42" si="121">IF(M42="","",pb_currency_symbol)</f>
        <v/>
      </c>
      <c r="T42" s="1422"/>
      <c r="U42" s="1324" t="str">
        <f t="shared" si="115"/>
        <v/>
      </c>
      <c r="V42" s="1323" t="str">
        <f t="shared" ref="V42" si="122">IF(W42=0,"",pb_currency_symbol)</f>
        <v/>
      </c>
      <c r="W42" s="1424"/>
      <c r="X42" s="1427" t="str">
        <f t="shared" ref="X42" si="123">IF(M42="","",pb_currency_symbol)</f>
        <v/>
      </c>
      <c r="Y42" s="1326" t="str">
        <f t="shared" si="13"/>
        <v/>
      </c>
      <c r="Z42" s="1426" t="str" cm="1">
        <f t="array" ref="Z42">IF(M42="","",IF(P42=AK42,1,Slookup(MID(AK42,1,3)*1,UomConversion!$D$8:$J$500,5,UomConversion!$E$8:$E$500,MID(P42,1,3)*1,UomConversion!$J$8:$J$500,1)))</f>
        <v/>
      </c>
      <c r="AA42" s="1414" t="str">
        <f t="shared" si="14"/>
        <v/>
      </c>
      <c r="AB42" s="1416" t="str">
        <f t="shared" si="15"/>
        <v/>
      </c>
      <c r="AC42" s="1417" t="str">
        <f t="shared" si="16"/>
        <v/>
      </c>
      <c r="AD42" s="1418" t="str">
        <f t="shared" si="17"/>
        <v/>
      </c>
      <c r="AE42" s="1414" t="str">
        <f>IF(I42="","",IF(ISNA(MATCH(I42,IF(pb_location_id=1,'[1]1_inventory_totals'!$C$8:$C$10000,IF(pb_location_id=2,'[1]2_inventory_totals'!$C$8:$C$10000,"")),0)),0,IF(AR42&gt;0,1,0)))</f>
        <v/>
      </c>
      <c r="AF42" s="1414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G42" s="1414" t="str">
        <f>IF(M42="","",IF(ISNA(MATCH(I42,'[1]1_group_totals'!$C$8:$C$10000)),0,IF(AS42&gt;0,1,0)))</f>
        <v/>
      </c>
      <c r="AH42" s="1414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I42" s="1414" t="str">
        <f>IF(M42="","",IF(AJ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J42" s="1414" t="str">
        <f>IF(M42="","",SUMIFS('1_group_totals'!$J$8:$J$10000,'[1]1_group_totals'!$C$8:$C$10000,I42,'1_group_totals'!$F$8:$F$10000,pb_location_group_id,'[1]1_group_totals'!$G$8:$G$10000,pb_location_id,'[1]1_group_totals'!$H$8:$H$10000,"="&amp;Q42,'[1]1_group_totals'!$I$8:$I$10000,"="&amp;R42))</f>
        <v/>
      </c>
      <c r="AK42" s="1414" t="str">
        <f t="shared" si="18"/>
        <v/>
      </c>
      <c r="AL42" s="1414" t="str">
        <f>IF(OR(ISNA(MATCH(MID(AK42,1,3)*1,UomConversion!$D$8:$D$500,0)),M42=""),"",IF(AP42="","",AP42))</f>
        <v/>
      </c>
      <c r="AM42" s="1414" t="str">
        <f>IF(AND(AN42&gt;0,COUNTIFS(UomConversion!$D$8:$D$500,MID(AK42,1,3)*1,UomConversion!$J$8:$J$500,1)&gt;1),TEXT(AN42,"000")&amp;"."&amp;VLOOKUP(AN42,uom_list,4,FALSE),"")</f>
        <v/>
      </c>
      <c r="AN42" s="1414" t="str">
        <f t="shared" si="19"/>
        <v/>
      </c>
      <c r="AO42" s="1414" t="str">
        <f t="shared" si="20"/>
        <v/>
      </c>
      <c r="AP42" s="126" t="str">
        <f t="shared" si="21"/>
        <v/>
      </c>
      <c r="AQ42" s="126" t="str" cm="1">
        <f t="array" ref="AQ42">IF(M42="","",IF(ISNA(Slookup(MID(AK42,1,3)*1,UomConversion!$D$8:$J$500,2,UomConversion!$I$8:$I$500,1,UomConversion!$J$8:$J$500,1)),"",Slookup(MID(AK42,1,3)*1,UomConversion!$D$8:$J$500,2,UomConversion!$I$8:$I$500,1,UomConversion!$J$8:$J$500,1)))</f>
        <v/>
      </c>
      <c r="AR42" s="13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S42" s="126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5" ht="27" customHeight="1">
      <c r="A43" s="765"/>
      <c r="B43" s="922"/>
      <c r="C43" s="984"/>
      <c r="D43" s="984"/>
      <c r="E43" s="984"/>
      <c r="F43" s="940"/>
      <c r="I43" s="426" t="str">
        <f t="shared" si="8"/>
        <v/>
      </c>
      <c r="J43" s="1412" t="str">
        <f t="shared" si="22"/>
        <v/>
      </c>
      <c r="K43" s="1320" t="str">
        <f t="shared" si="9"/>
        <v/>
      </c>
      <c r="L43" s="1321"/>
      <c r="M43" s="1413"/>
      <c r="N43" s="1322"/>
      <c r="O43" s="1322"/>
      <c r="P43" s="1413" t="str">
        <f t="shared" si="47"/>
        <v/>
      </c>
      <c r="Q43" s="1414"/>
      <c r="R43" s="1415"/>
      <c r="S43" s="1323" t="str">
        <f t="shared" ref="S43" si="124">IF(M43="","",pb_currency_symbol)</f>
        <v/>
      </c>
      <c r="T43" s="1422"/>
      <c r="U43" s="1324" t="str">
        <f t="shared" si="115"/>
        <v/>
      </c>
      <c r="V43" s="1323" t="str">
        <f t="shared" ref="V43" si="125">IF(W43=0,"",pb_currency_symbol)</f>
        <v/>
      </c>
      <c r="W43" s="1424"/>
      <c r="X43" s="1427" t="str">
        <f t="shared" ref="X43" si="126">IF(M43="","",pb_currency_symbol)</f>
        <v/>
      </c>
      <c r="Y43" s="1326" t="str">
        <f t="shared" si="13"/>
        <v/>
      </c>
      <c r="Z43" s="1426" t="str" cm="1">
        <f t="array" ref="Z43">IF(M43="","",IF(P43=AK43,1,Slookup(MID(AK43,1,3)*1,UomConversion!$D$8:$J$500,5,UomConversion!$E$8:$E$500,MID(P43,1,3)*1,UomConversion!$J$8:$J$500,1)))</f>
        <v/>
      </c>
      <c r="AA43" s="1414" t="str">
        <f t="shared" si="14"/>
        <v/>
      </c>
      <c r="AB43" s="1416" t="str">
        <f t="shared" si="15"/>
        <v/>
      </c>
      <c r="AC43" s="1417" t="str">
        <f t="shared" si="16"/>
        <v/>
      </c>
      <c r="AD43" s="1418" t="str">
        <f t="shared" si="17"/>
        <v/>
      </c>
      <c r="AE43" s="1414" t="str">
        <f>IF(I43="","",IF(ISNA(MATCH(I43,IF(pb_location_id=1,'[1]1_inventory_totals'!$C$8:$C$10000,IF(pb_location_id=2,'[1]2_inventory_totals'!$C$8:$C$10000,"")),0)),0,IF(AR43&gt;0,1,0)))</f>
        <v/>
      </c>
      <c r="AF43" s="1414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G43" s="1414" t="str">
        <f>IF(M43="","",IF(ISNA(MATCH(I43,'[1]1_group_totals'!$C$8:$C$10000)),0,IF(AS43&gt;0,1,0)))</f>
        <v/>
      </c>
      <c r="AH43" s="1414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I43" s="1414" t="str">
        <f>IF(M43="","",IF(AJ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J43" s="1414" t="str">
        <f>IF(M43="","",SUMIFS('1_group_totals'!$J$8:$J$10000,'[1]1_group_totals'!$C$8:$C$10000,I43,'1_group_totals'!$F$8:$F$10000,pb_location_group_id,'[1]1_group_totals'!$G$8:$G$10000,pb_location_id,'[1]1_group_totals'!$H$8:$H$10000,"="&amp;Q43,'[1]1_group_totals'!$I$8:$I$10000,"="&amp;R43))</f>
        <v/>
      </c>
      <c r="AK43" s="1414" t="str">
        <f t="shared" si="18"/>
        <v/>
      </c>
      <c r="AL43" s="1414" t="str">
        <f>IF(OR(ISNA(MATCH(MID(AK43,1,3)*1,UomConversion!$D$8:$D$500,0)),M43=""),"",IF(AP43="","",AP43))</f>
        <v/>
      </c>
      <c r="AM43" s="1414" t="str">
        <f>IF(AND(AN43&gt;0,COUNTIFS(UomConversion!$D$8:$D$500,MID(AK43,1,3)*1,UomConversion!$J$8:$J$500,1)&gt;1),TEXT(AN43,"000")&amp;"."&amp;VLOOKUP(AN43,uom_list,4,FALSE),"")</f>
        <v/>
      </c>
      <c r="AN43" s="1414" t="str">
        <f t="shared" si="19"/>
        <v/>
      </c>
      <c r="AO43" s="1414" t="str">
        <f t="shared" si="20"/>
        <v/>
      </c>
      <c r="AP43" s="126" t="str">
        <f t="shared" si="21"/>
        <v/>
      </c>
      <c r="AQ43" s="126" t="str" cm="1">
        <f t="array" ref="AQ43">IF(M43="","",IF(ISNA(Slookup(MID(AK43,1,3)*1,UomConversion!$D$8:$J$500,2,UomConversion!$I$8:$I$500,1,UomConversion!$J$8:$J$500,1)),"",Slookup(MID(AK43,1,3)*1,UomConversion!$D$8:$J$500,2,UomConversion!$I$8:$I$500,1,UomConversion!$J$8:$J$500,1)))</f>
        <v/>
      </c>
      <c r="AR43" s="13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S43" s="126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5" ht="27" customHeight="1">
      <c r="A44" s="765"/>
      <c r="B44" s="922"/>
      <c r="C44" s="984"/>
      <c r="D44" s="984"/>
      <c r="E44" s="984"/>
      <c r="F44" s="940"/>
      <c r="I44" s="426" t="str">
        <f t="shared" si="8"/>
        <v/>
      </c>
      <c r="J44" s="1412" t="str">
        <f t="shared" si="22"/>
        <v/>
      </c>
      <c r="K44" s="1320" t="str">
        <f t="shared" si="9"/>
        <v/>
      </c>
      <c r="L44" s="1321"/>
      <c r="M44" s="1413"/>
      <c r="N44" s="1322"/>
      <c r="O44" s="1322"/>
      <c r="P44" s="1413" t="str">
        <f t="shared" si="47"/>
        <v/>
      </c>
      <c r="Q44" s="1414"/>
      <c r="R44" s="1415"/>
      <c r="S44" s="1323" t="str">
        <f t="shared" ref="S44" si="127">IF(M44="","",pb_currency_symbol)</f>
        <v/>
      </c>
      <c r="T44" s="1422"/>
      <c r="U44" s="1324" t="str">
        <f t="shared" si="115"/>
        <v/>
      </c>
      <c r="V44" s="1323" t="str">
        <f t="shared" ref="V44" si="128">IF(W44=0,"",pb_currency_symbol)</f>
        <v/>
      </c>
      <c r="W44" s="1424"/>
      <c r="X44" s="1427" t="str">
        <f t="shared" ref="X44" si="129">IF(M44="","",pb_currency_symbol)</f>
        <v/>
      </c>
      <c r="Y44" s="1326" t="str">
        <f t="shared" si="13"/>
        <v/>
      </c>
      <c r="Z44" s="1426" t="str" cm="1">
        <f t="array" ref="Z44">IF(M44="","",IF(P44=AK44,1,Slookup(MID(AK44,1,3)*1,UomConversion!$D$8:$J$500,5,UomConversion!$E$8:$E$500,MID(P44,1,3)*1,UomConversion!$J$8:$J$500,1)))</f>
        <v/>
      </c>
      <c r="AA44" s="1414" t="str">
        <f t="shared" si="14"/>
        <v/>
      </c>
      <c r="AB44" s="1416" t="str">
        <f t="shared" si="15"/>
        <v/>
      </c>
      <c r="AC44" s="1417" t="str">
        <f t="shared" si="16"/>
        <v/>
      </c>
      <c r="AD44" s="1418" t="str">
        <f t="shared" si="17"/>
        <v/>
      </c>
      <c r="AE44" s="1414" t="str">
        <f>IF(I44="","",IF(ISNA(MATCH(I44,IF(pb_location_id=1,'[1]1_inventory_totals'!$C$8:$C$10000,IF(pb_location_id=2,'[1]2_inventory_totals'!$C$8:$C$10000,"")),0)),0,IF(AR44&gt;0,1,0)))</f>
        <v/>
      </c>
      <c r="AF44" s="1414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G44" s="1414" t="str">
        <f>IF(M44="","",IF(ISNA(MATCH(I44,'[1]1_group_totals'!$C$8:$C$10000)),0,IF(AS44&gt;0,1,0)))</f>
        <v/>
      </c>
      <c r="AH44" s="1414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I44" s="1414" t="str">
        <f>IF(M44="","",IF(AJ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J44" s="1414" t="str">
        <f>IF(M44="","",SUMIFS('1_group_totals'!$J$8:$J$10000,'[1]1_group_totals'!$C$8:$C$10000,I44,'1_group_totals'!$F$8:$F$10000,pb_location_group_id,'[1]1_group_totals'!$G$8:$G$10000,pb_location_id,'[1]1_group_totals'!$H$8:$H$10000,"="&amp;Q44,'[1]1_group_totals'!$I$8:$I$10000,"="&amp;R44))</f>
        <v/>
      </c>
      <c r="AK44" s="1414" t="str">
        <f t="shared" si="18"/>
        <v/>
      </c>
      <c r="AL44" s="1414" t="str">
        <f>IF(OR(ISNA(MATCH(MID(AK44,1,3)*1,UomConversion!$D$8:$D$500,0)),M44=""),"",IF(AP44="","",AP44))</f>
        <v/>
      </c>
      <c r="AM44" s="1414" t="str">
        <f>IF(AND(AN44&gt;0,COUNTIFS(UomConversion!$D$8:$D$500,MID(AK44,1,3)*1,UomConversion!$J$8:$J$500,1)&gt;1),TEXT(AN44,"000")&amp;"."&amp;VLOOKUP(AN44,uom_list,4,FALSE),"")</f>
        <v/>
      </c>
      <c r="AN44" s="1414" t="str">
        <f t="shared" si="19"/>
        <v/>
      </c>
      <c r="AO44" s="1414" t="str">
        <f t="shared" si="20"/>
        <v/>
      </c>
      <c r="AP44" s="126" t="str">
        <f t="shared" si="21"/>
        <v/>
      </c>
      <c r="AQ44" s="126" t="str" cm="1">
        <f t="array" ref="AQ44">IF(M44="","",IF(ISNA(Slookup(MID(AK44,1,3)*1,UomConversion!$D$8:$J$500,2,UomConversion!$I$8:$I$500,1,UomConversion!$J$8:$J$500,1)),"",Slookup(MID(AK44,1,3)*1,UomConversion!$D$8:$J$500,2,UomConversion!$I$8:$I$500,1,UomConversion!$J$8:$J$500,1)))</f>
        <v/>
      </c>
      <c r="AR44" s="13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S44" s="126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5" ht="27" customHeight="1">
      <c r="A45" s="765"/>
      <c r="B45" s="922"/>
      <c r="C45" s="984"/>
      <c r="D45" s="984"/>
      <c r="E45" s="984"/>
      <c r="F45" s="940"/>
      <c r="I45" s="426" t="str">
        <f t="shared" si="8"/>
        <v/>
      </c>
      <c r="J45" s="1412" t="str">
        <f t="shared" si="22"/>
        <v/>
      </c>
      <c r="K45" s="1320" t="str">
        <f t="shared" si="9"/>
        <v/>
      </c>
      <c r="L45" s="1321"/>
      <c r="M45" s="1413"/>
      <c r="N45" s="1322"/>
      <c r="O45" s="1322"/>
      <c r="P45" s="1413" t="str">
        <f t="shared" si="47"/>
        <v/>
      </c>
      <c r="Q45" s="1414"/>
      <c r="R45" s="1415"/>
      <c r="S45" s="1323" t="str">
        <f t="shared" ref="S45" si="130">IF(M45="","",pb_currency_symbol)</f>
        <v/>
      </c>
      <c r="T45" s="1422"/>
      <c r="U45" s="1324" t="str">
        <f t="shared" si="115"/>
        <v/>
      </c>
      <c r="V45" s="1323" t="str">
        <f t="shared" ref="V45" si="131">IF(W45=0,"",pb_currency_symbol)</f>
        <v/>
      </c>
      <c r="W45" s="1424"/>
      <c r="X45" s="1427" t="str">
        <f t="shared" ref="X45" si="132">IF(M45="","",pb_currency_symbol)</f>
        <v/>
      </c>
      <c r="Y45" s="1326" t="str">
        <f t="shared" si="13"/>
        <v/>
      </c>
      <c r="Z45" s="1426" t="str" cm="1">
        <f t="array" ref="Z45">IF(M45="","",IF(P45=AK45,1,Slookup(MID(AK45,1,3)*1,UomConversion!$D$8:$J$500,5,UomConversion!$E$8:$E$500,MID(P45,1,3)*1,UomConversion!$J$8:$J$500,1)))</f>
        <v/>
      </c>
      <c r="AA45" s="1414" t="str">
        <f t="shared" si="14"/>
        <v/>
      </c>
      <c r="AB45" s="1416" t="str">
        <f t="shared" si="15"/>
        <v/>
      </c>
      <c r="AC45" s="1417" t="str">
        <f t="shared" si="16"/>
        <v/>
      </c>
      <c r="AD45" s="1418" t="str">
        <f t="shared" si="17"/>
        <v/>
      </c>
      <c r="AE45" s="1414" t="str">
        <f>IF(I45="","",IF(ISNA(MATCH(I45,IF(pb_location_id=1,'[1]1_inventory_totals'!$C$8:$C$10000,IF(pb_location_id=2,'[1]2_inventory_totals'!$C$8:$C$10000,"")),0)),0,IF(AR45&gt;0,1,0)))</f>
        <v/>
      </c>
      <c r="AF45" s="1414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G45" s="1414" t="str">
        <f>IF(M45="","",IF(ISNA(MATCH(I45,'[1]1_group_totals'!$C$8:$C$10000)),0,IF(AS45&gt;0,1,0)))</f>
        <v/>
      </c>
      <c r="AH45" s="1414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I45" s="1414" t="str">
        <f>IF(M45="","",IF(AJ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J45" s="1414" t="str">
        <f>IF(M45="","",SUMIFS('1_group_totals'!$J$8:$J$10000,'[1]1_group_totals'!$C$8:$C$10000,I45,'1_group_totals'!$F$8:$F$10000,pb_location_group_id,'[1]1_group_totals'!$G$8:$G$10000,pb_location_id,'[1]1_group_totals'!$H$8:$H$10000,"="&amp;Q45,'[1]1_group_totals'!$I$8:$I$10000,"="&amp;R45))</f>
        <v/>
      </c>
      <c r="AK45" s="1414" t="str">
        <f t="shared" si="18"/>
        <v/>
      </c>
      <c r="AL45" s="1414" t="str">
        <f>IF(OR(ISNA(MATCH(MID(AK45,1,3)*1,UomConversion!$D$8:$D$500,0)),M45=""),"",IF(AP45="","",AP45))</f>
        <v/>
      </c>
      <c r="AM45" s="1414" t="str">
        <f>IF(AND(AN45&gt;0,COUNTIFS(UomConversion!$D$8:$D$500,MID(AK45,1,3)*1,UomConversion!$J$8:$J$500,1)&gt;1),TEXT(AN45,"000")&amp;"."&amp;VLOOKUP(AN45,uom_list,4,FALSE),"")</f>
        <v/>
      </c>
      <c r="AN45" s="1414" t="str">
        <f t="shared" si="19"/>
        <v/>
      </c>
      <c r="AO45" s="1414" t="str">
        <f t="shared" si="20"/>
        <v/>
      </c>
      <c r="AP45" s="126" t="str">
        <f t="shared" si="21"/>
        <v/>
      </c>
      <c r="AQ45" s="126" t="str" cm="1">
        <f t="array" ref="AQ45">IF(M45="","",IF(ISNA(Slookup(MID(AK45,1,3)*1,UomConversion!$D$8:$J$500,2,UomConversion!$I$8:$I$500,1,UomConversion!$J$8:$J$500,1)),"",Slookup(MID(AK45,1,3)*1,UomConversion!$D$8:$J$500,2,UomConversion!$I$8:$I$500,1,UomConversion!$J$8:$J$500,1)))</f>
        <v/>
      </c>
      <c r="AR45" s="13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S45" s="126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5" ht="27" customHeight="1">
      <c r="A46" s="765"/>
      <c r="B46" s="922"/>
      <c r="C46" s="984"/>
      <c r="D46" s="984"/>
      <c r="E46" s="984"/>
      <c r="F46" s="940"/>
      <c r="I46" s="426" t="str">
        <f t="shared" si="8"/>
        <v/>
      </c>
      <c r="J46" s="1412" t="str">
        <f t="shared" si="22"/>
        <v/>
      </c>
      <c r="K46" s="1320" t="str">
        <f t="shared" si="9"/>
        <v/>
      </c>
      <c r="L46" s="1321"/>
      <c r="M46" s="1413"/>
      <c r="N46" s="1322"/>
      <c r="O46" s="1322"/>
      <c r="P46" s="1413" t="str">
        <f t="shared" si="47"/>
        <v/>
      </c>
      <c r="Q46" s="1414"/>
      <c r="R46" s="1415"/>
      <c r="S46" s="1323" t="str">
        <f t="shared" ref="S46" si="133">IF(M46="","",pb_currency_symbol)</f>
        <v/>
      </c>
      <c r="T46" s="1422"/>
      <c r="U46" s="1324" t="str">
        <f t="shared" si="115"/>
        <v/>
      </c>
      <c r="V46" s="1323" t="str">
        <f t="shared" ref="V46" si="134">IF(W46=0,"",pb_currency_symbol)</f>
        <v/>
      </c>
      <c r="W46" s="1424"/>
      <c r="X46" s="1427" t="str">
        <f t="shared" ref="X46" si="135">IF(M46="","",pb_currency_symbol)</f>
        <v/>
      </c>
      <c r="Y46" s="1326" t="str">
        <f t="shared" si="13"/>
        <v/>
      </c>
      <c r="Z46" s="1426" t="str" cm="1">
        <f t="array" ref="Z46">IF(M46="","",IF(P46=AK46,1,Slookup(MID(AK46,1,3)*1,UomConversion!$D$8:$J$500,5,UomConversion!$E$8:$E$500,MID(P46,1,3)*1,UomConversion!$J$8:$J$500,1)))</f>
        <v/>
      </c>
      <c r="AA46" s="1414" t="str">
        <f t="shared" si="14"/>
        <v/>
      </c>
      <c r="AB46" s="1416" t="str">
        <f t="shared" si="15"/>
        <v/>
      </c>
      <c r="AC46" s="1417" t="str">
        <f t="shared" si="16"/>
        <v/>
      </c>
      <c r="AD46" s="1418" t="str">
        <f t="shared" si="17"/>
        <v/>
      </c>
      <c r="AE46" s="1414" t="str">
        <f>IF(I46="","",IF(ISNA(MATCH(I46,IF(pb_location_id=1,'[1]1_inventory_totals'!$C$8:$C$10000,IF(pb_location_id=2,'[1]2_inventory_totals'!$C$8:$C$10000,"")),0)),0,IF(AR46&gt;0,1,0)))</f>
        <v/>
      </c>
      <c r="AF46" s="1414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G46" s="1414" t="str">
        <f>IF(M46="","",IF(ISNA(MATCH(I46,'[1]1_group_totals'!$C$8:$C$10000)),0,IF(AS46&gt;0,1,0)))</f>
        <v/>
      </c>
      <c r="AH46" s="1414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I46" s="1414" t="str">
        <f>IF(M46="","",IF(AJ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J46" s="1414" t="str">
        <f>IF(M46="","",SUMIFS('1_group_totals'!$J$8:$J$10000,'[1]1_group_totals'!$C$8:$C$10000,I46,'1_group_totals'!$F$8:$F$10000,pb_location_group_id,'[1]1_group_totals'!$G$8:$G$10000,pb_location_id,'[1]1_group_totals'!$H$8:$H$10000,"="&amp;Q46,'[1]1_group_totals'!$I$8:$I$10000,"="&amp;R46))</f>
        <v/>
      </c>
      <c r="AK46" s="1414" t="str">
        <f t="shared" si="18"/>
        <v/>
      </c>
      <c r="AL46" s="1414" t="str">
        <f>IF(OR(ISNA(MATCH(MID(AK46,1,3)*1,UomConversion!$D$8:$D$500,0)),M46=""),"",IF(AP46="","",AP46))</f>
        <v/>
      </c>
      <c r="AM46" s="1414" t="str">
        <f>IF(AND(AN46&gt;0,COUNTIFS(UomConversion!$D$8:$D$500,MID(AK46,1,3)*1,UomConversion!$J$8:$J$500,1)&gt;1),TEXT(AN46,"000")&amp;"."&amp;VLOOKUP(AN46,uom_list,4,FALSE),"")</f>
        <v/>
      </c>
      <c r="AN46" s="1414" t="str">
        <f t="shared" si="19"/>
        <v/>
      </c>
      <c r="AO46" s="1414" t="str">
        <f t="shared" si="20"/>
        <v/>
      </c>
      <c r="AP46" s="126" t="str">
        <f t="shared" si="21"/>
        <v/>
      </c>
      <c r="AQ46" s="126" t="str" cm="1">
        <f t="array" ref="AQ46">IF(M46="","",IF(ISNA(Slookup(MID(AK46,1,3)*1,UomConversion!$D$8:$J$500,2,UomConversion!$I$8:$I$500,1,UomConversion!$J$8:$J$500,1)),"",Slookup(MID(AK46,1,3)*1,UomConversion!$D$8:$J$500,2,UomConversion!$I$8:$I$500,1,UomConversion!$J$8:$J$500,1)))</f>
        <v/>
      </c>
      <c r="AR46" s="13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S46" s="126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5" ht="27" customHeight="1">
      <c r="A47" s="765"/>
      <c r="B47" s="922"/>
      <c r="C47" s="984"/>
      <c r="D47" s="984"/>
      <c r="E47" s="984"/>
      <c r="F47" s="940"/>
      <c r="I47" s="426" t="str">
        <f t="shared" si="8"/>
        <v/>
      </c>
      <c r="J47" s="1412" t="str">
        <f t="shared" si="22"/>
        <v/>
      </c>
      <c r="K47" s="1320" t="str">
        <f t="shared" si="9"/>
        <v/>
      </c>
      <c r="L47" s="1321"/>
      <c r="M47" s="1413"/>
      <c r="N47" s="1322"/>
      <c r="O47" s="1322"/>
      <c r="P47" s="1413" t="str">
        <f t="shared" si="47"/>
        <v/>
      </c>
      <c r="Q47" s="1414"/>
      <c r="R47" s="1415"/>
      <c r="S47" s="1323" t="str">
        <f t="shared" ref="S47" si="136">IF(M47="","",pb_currency_symbol)</f>
        <v/>
      </c>
      <c r="T47" s="1422"/>
      <c r="U47" s="1324" t="str">
        <f t="shared" si="115"/>
        <v/>
      </c>
      <c r="V47" s="1323" t="str">
        <f t="shared" ref="V47" si="137">IF(W47=0,"",pb_currency_symbol)</f>
        <v/>
      </c>
      <c r="W47" s="1424"/>
      <c r="X47" s="1427" t="str">
        <f t="shared" ref="X47" si="138">IF(M47="","",pb_currency_symbol)</f>
        <v/>
      </c>
      <c r="Y47" s="1326" t="str">
        <f t="shared" si="13"/>
        <v/>
      </c>
      <c r="Z47" s="1426" t="str" cm="1">
        <f t="array" ref="Z47">IF(M47="","",IF(P47=AK47,1,Slookup(MID(AK47,1,3)*1,UomConversion!$D$8:$J$500,5,UomConversion!$E$8:$E$500,MID(P47,1,3)*1,UomConversion!$J$8:$J$500,1)))</f>
        <v/>
      </c>
      <c r="AA47" s="1414" t="str">
        <f t="shared" si="14"/>
        <v/>
      </c>
      <c r="AB47" s="1416" t="str">
        <f t="shared" si="15"/>
        <v/>
      </c>
      <c r="AC47" s="1417" t="str">
        <f t="shared" si="16"/>
        <v/>
      </c>
      <c r="AD47" s="1418" t="str">
        <f t="shared" si="17"/>
        <v/>
      </c>
      <c r="AE47" s="1414" t="str">
        <f>IF(I47="","",IF(ISNA(MATCH(I47,IF(pb_location_id=1,'[1]1_inventory_totals'!$C$8:$C$10000,IF(pb_location_id=2,'[1]2_inventory_totals'!$C$8:$C$10000,"")),0)),0,IF(AR47&gt;0,1,0)))</f>
        <v/>
      </c>
      <c r="AF47" s="1414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G47" s="1414" t="str">
        <f>IF(M47="","",IF(ISNA(MATCH(I47,'[1]1_group_totals'!$C$8:$C$10000)),0,IF(AS47&gt;0,1,0)))</f>
        <v/>
      </c>
      <c r="AH47" s="1414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I47" s="1414" t="str">
        <f>IF(M47="","",IF(AJ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J47" s="1414" t="str">
        <f>IF(M47="","",SUMIFS('1_group_totals'!$J$8:$J$10000,'[1]1_group_totals'!$C$8:$C$10000,I47,'1_group_totals'!$F$8:$F$10000,pb_location_group_id,'[1]1_group_totals'!$G$8:$G$10000,pb_location_id,'[1]1_group_totals'!$H$8:$H$10000,"="&amp;Q47,'[1]1_group_totals'!$I$8:$I$10000,"="&amp;R47))</f>
        <v/>
      </c>
      <c r="AK47" s="1414" t="str">
        <f t="shared" si="18"/>
        <v/>
      </c>
      <c r="AL47" s="1414" t="str">
        <f>IF(OR(ISNA(MATCH(MID(AK47,1,3)*1,UomConversion!$D$8:$D$500,0)),M47=""),"",IF(AP47="","",AP47))</f>
        <v/>
      </c>
      <c r="AM47" s="1414" t="str">
        <f>IF(AND(AN47&gt;0,COUNTIFS(UomConversion!$D$8:$D$500,MID(AK47,1,3)*1,UomConversion!$J$8:$J$500,1)&gt;1),TEXT(AN47,"000")&amp;"."&amp;VLOOKUP(AN47,uom_list,4,FALSE),"")</f>
        <v/>
      </c>
      <c r="AN47" s="1414" t="str">
        <f t="shared" si="19"/>
        <v/>
      </c>
      <c r="AO47" s="1414" t="str">
        <f t="shared" si="20"/>
        <v/>
      </c>
      <c r="AP47" s="126" t="str">
        <f t="shared" si="21"/>
        <v/>
      </c>
      <c r="AQ47" s="126" t="str" cm="1">
        <f t="array" ref="AQ47">IF(M47="","",IF(ISNA(Slookup(MID(AK47,1,3)*1,UomConversion!$D$8:$J$500,2,UomConversion!$I$8:$I$500,1,UomConversion!$J$8:$J$500,1)),"",Slookup(MID(AK47,1,3)*1,UomConversion!$D$8:$J$500,2,UomConversion!$I$8:$I$500,1,UomConversion!$J$8:$J$500,1)))</f>
        <v/>
      </c>
      <c r="AR47" s="13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S47" s="126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5" ht="27" customHeight="1">
      <c r="A48" s="765"/>
      <c r="B48" s="922"/>
      <c r="C48" s="984"/>
      <c r="D48" s="984"/>
      <c r="E48" s="984"/>
      <c r="F48" s="940"/>
      <c r="I48" s="426" t="str">
        <f t="shared" si="8"/>
        <v/>
      </c>
      <c r="J48" s="1412" t="str">
        <f t="shared" si="22"/>
        <v/>
      </c>
      <c r="K48" s="1320" t="str">
        <f t="shared" si="9"/>
        <v/>
      </c>
      <c r="L48" s="1321"/>
      <c r="M48" s="1413"/>
      <c r="N48" s="1322"/>
      <c r="O48" s="1322"/>
      <c r="P48" s="1413" t="str">
        <f t="shared" si="47"/>
        <v/>
      </c>
      <c r="Q48" s="1414"/>
      <c r="R48" s="1415"/>
      <c r="S48" s="1323" t="str">
        <f t="shared" ref="S48" si="139">IF(M48="","",pb_currency_symbol)</f>
        <v/>
      </c>
      <c r="T48" s="1422"/>
      <c r="U48" s="1324" t="str">
        <f t="shared" si="115"/>
        <v/>
      </c>
      <c r="V48" s="1323" t="str">
        <f t="shared" ref="V48" si="140">IF(W48=0,"",pb_currency_symbol)</f>
        <v/>
      </c>
      <c r="W48" s="1424"/>
      <c r="X48" s="1427" t="str">
        <f t="shared" ref="X48" si="141">IF(M48="","",pb_currency_symbol)</f>
        <v/>
      </c>
      <c r="Y48" s="1326" t="str">
        <f t="shared" si="13"/>
        <v/>
      </c>
      <c r="Z48" s="1426" t="str" cm="1">
        <f t="array" ref="Z48">IF(M48="","",IF(P48=AK48,1,Slookup(MID(AK48,1,3)*1,UomConversion!$D$8:$J$500,5,UomConversion!$E$8:$E$500,MID(P48,1,3)*1,UomConversion!$J$8:$J$500,1)))</f>
        <v/>
      </c>
      <c r="AA48" s="1414" t="str">
        <f t="shared" si="14"/>
        <v/>
      </c>
      <c r="AB48" s="1416" t="str">
        <f t="shared" si="15"/>
        <v/>
      </c>
      <c r="AC48" s="1417" t="str">
        <f t="shared" si="16"/>
        <v/>
      </c>
      <c r="AD48" s="1418" t="str">
        <f t="shared" si="17"/>
        <v/>
      </c>
      <c r="AE48" s="1414" t="str">
        <f>IF(I48="","",IF(ISNA(MATCH(I48,IF(pb_location_id=1,'[1]1_inventory_totals'!$C$8:$C$10000,IF(pb_location_id=2,'[1]2_inventory_totals'!$C$8:$C$10000,"")),0)),0,IF(AR48&gt;0,1,0)))</f>
        <v/>
      </c>
      <c r="AF48" s="1414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G48" s="1414" t="str">
        <f>IF(M48="","",IF(ISNA(MATCH(I48,'[1]1_group_totals'!$C$8:$C$10000)),0,IF(AS48&gt;0,1,0)))</f>
        <v/>
      </c>
      <c r="AH48" s="1414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I48" s="1414" t="str">
        <f>IF(M48="","",IF(AJ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J48" s="1414" t="str">
        <f>IF(M48="","",SUMIFS('1_group_totals'!$J$8:$J$10000,'[1]1_group_totals'!$C$8:$C$10000,I48,'1_group_totals'!$F$8:$F$10000,pb_location_group_id,'[1]1_group_totals'!$G$8:$G$10000,pb_location_id,'[1]1_group_totals'!$H$8:$H$10000,"="&amp;Q48,'[1]1_group_totals'!$I$8:$I$10000,"="&amp;R48))</f>
        <v/>
      </c>
      <c r="AK48" s="1414" t="str">
        <f t="shared" si="18"/>
        <v/>
      </c>
      <c r="AL48" s="1414" t="str">
        <f>IF(OR(ISNA(MATCH(MID(AK48,1,3)*1,UomConversion!$D$8:$D$500,0)),M48=""),"",IF(AP48="","",AP48))</f>
        <v/>
      </c>
      <c r="AM48" s="1414" t="str">
        <f>IF(AND(AN48&gt;0,COUNTIFS(UomConversion!$D$8:$D$500,MID(AK48,1,3)*1,UomConversion!$J$8:$J$500,1)&gt;1),TEXT(AN48,"000")&amp;"."&amp;VLOOKUP(AN48,uom_list,4,FALSE),"")</f>
        <v/>
      </c>
      <c r="AN48" s="1414" t="str">
        <f t="shared" si="19"/>
        <v/>
      </c>
      <c r="AO48" s="1414" t="str">
        <f t="shared" si="20"/>
        <v/>
      </c>
      <c r="AP48" s="126" t="str">
        <f t="shared" si="21"/>
        <v/>
      </c>
      <c r="AQ48" s="126" t="str" cm="1">
        <f t="array" ref="AQ48">IF(M48="","",IF(ISNA(Slookup(MID(AK48,1,3)*1,UomConversion!$D$8:$J$500,2,UomConversion!$I$8:$I$500,1,UomConversion!$J$8:$J$500,1)),"",Slookup(MID(AK48,1,3)*1,UomConversion!$D$8:$J$500,2,UomConversion!$I$8:$I$500,1,UomConversion!$J$8:$J$500,1)))</f>
        <v/>
      </c>
      <c r="AR48" s="13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S48" s="126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5" ht="27" customHeight="1">
      <c r="A49" s="765"/>
      <c r="B49" s="922"/>
      <c r="C49" s="984"/>
      <c r="D49" s="984"/>
      <c r="E49" s="984"/>
      <c r="F49" s="940"/>
      <c r="I49" s="426" t="str">
        <f t="shared" si="8"/>
        <v/>
      </c>
      <c r="J49" s="1412" t="str">
        <f t="shared" si="22"/>
        <v/>
      </c>
      <c r="K49" s="1320" t="str">
        <f t="shared" si="9"/>
        <v/>
      </c>
      <c r="L49" s="1321"/>
      <c r="M49" s="1413"/>
      <c r="N49" s="1322"/>
      <c r="O49" s="1322"/>
      <c r="P49" s="1413" t="str">
        <f t="shared" si="47"/>
        <v/>
      </c>
      <c r="Q49" s="1414"/>
      <c r="R49" s="1415"/>
      <c r="S49" s="1323" t="str">
        <f t="shared" ref="S49" si="142">IF(M49="","",pb_currency_symbol)</f>
        <v/>
      </c>
      <c r="T49" s="1422"/>
      <c r="U49" s="1324" t="str">
        <f t="shared" si="115"/>
        <v/>
      </c>
      <c r="V49" s="1323" t="str">
        <f t="shared" ref="V49" si="143">IF(W49=0,"",pb_currency_symbol)</f>
        <v/>
      </c>
      <c r="W49" s="1424"/>
      <c r="X49" s="1427" t="str">
        <f t="shared" ref="X49" si="144">IF(M49="","",pb_currency_symbol)</f>
        <v/>
      </c>
      <c r="Y49" s="1326" t="str">
        <f t="shared" si="13"/>
        <v/>
      </c>
      <c r="Z49" s="1426" t="str" cm="1">
        <f t="array" ref="Z49">IF(M49="","",IF(P49=AK49,1,Slookup(MID(AK49,1,3)*1,UomConversion!$D$8:$J$500,5,UomConversion!$E$8:$E$500,MID(P49,1,3)*1,UomConversion!$J$8:$J$500,1)))</f>
        <v/>
      </c>
      <c r="AA49" s="1414" t="str">
        <f t="shared" si="14"/>
        <v/>
      </c>
      <c r="AB49" s="1416" t="str">
        <f t="shared" si="15"/>
        <v/>
      </c>
      <c r="AC49" s="1417" t="str">
        <f t="shared" si="16"/>
        <v/>
      </c>
      <c r="AD49" s="1418" t="str">
        <f t="shared" si="17"/>
        <v/>
      </c>
      <c r="AE49" s="1414" t="str">
        <f>IF(I49="","",IF(ISNA(MATCH(I49,IF(pb_location_id=1,'[1]1_inventory_totals'!$C$8:$C$10000,IF(pb_location_id=2,'[1]2_inventory_totals'!$C$8:$C$10000,"")),0)),0,IF(AR49&gt;0,1,0)))</f>
        <v/>
      </c>
      <c r="AF49" s="1414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G49" s="1414" t="str">
        <f>IF(M49="","",IF(ISNA(MATCH(I49,'[1]1_group_totals'!$C$8:$C$10000)),0,IF(AS49&gt;0,1,0)))</f>
        <v/>
      </c>
      <c r="AH49" s="1414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I49" s="1414" t="str">
        <f>IF(M49="","",IF(AJ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J49" s="1414" t="str">
        <f>IF(M49="","",SUMIFS('1_group_totals'!$J$8:$J$10000,'[1]1_group_totals'!$C$8:$C$10000,I49,'1_group_totals'!$F$8:$F$10000,pb_location_group_id,'[1]1_group_totals'!$G$8:$G$10000,pb_location_id,'[1]1_group_totals'!$H$8:$H$10000,"="&amp;Q49,'[1]1_group_totals'!$I$8:$I$10000,"="&amp;R49))</f>
        <v/>
      </c>
      <c r="AK49" s="1414" t="str">
        <f t="shared" si="18"/>
        <v/>
      </c>
      <c r="AL49" s="1414" t="str">
        <f>IF(OR(ISNA(MATCH(MID(AK49,1,3)*1,UomConversion!$D$8:$D$500,0)),M49=""),"",IF(AP49="","",AP49))</f>
        <v/>
      </c>
      <c r="AM49" s="1414" t="str">
        <f>IF(AND(AN49&gt;0,COUNTIFS(UomConversion!$D$8:$D$500,MID(AK49,1,3)*1,UomConversion!$J$8:$J$500,1)&gt;1),TEXT(AN49,"000")&amp;"."&amp;VLOOKUP(AN49,uom_list,4,FALSE),"")</f>
        <v/>
      </c>
      <c r="AN49" s="1414" t="str">
        <f t="shared" si="19"/>
        <v/>
      </c>
      <c r="AO49" s="1414" t="str">
        <f t="shared" si="20"/>
        <v/>
      </c>
      <c r="AP49" s="126" t="str">
        <f t="shared" si="21"/>
        <v/>
      </c>
      <c r="AQ49" s="126" t="str" cm="1">
        <f t="array" ref="AQ49">IF(M49="","",IF(ISNA(Slookup(MID(AK49,1,3)*1,UomConversion!$D$8:$J$500,2,UomConversion!$I$8:$I$500,1,UomConversion!$J$8:$J$500,1)),"",Slookup(MID(AK49,1,3)*1,UomConversion!$D$8:$J$500,2,UomConversion!$I$8:$I$500,1,UomConversion!$J$8:$J$500,1)))</f>
        <v/>
      </c>
      <c r="AR49" s="13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S49" s="126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5" ht="27" customHeight="1">
      <c r="A50" s="765"/>
      <c r="B50" s="922"/>
      <c r="C50" s="984"/>
      <c r="D50" s="984"/>
      <c r="E50" s="984"/>
      <c r="F50" s="940"/>
      <c r="I50" s="426" t="str">
        <f t="shared" si="8"/>
        <v/>
      </c>
      <c r="J50" s="1412" t="str">
        <f t="shared" si="22"/>
        <v/>
      </c>
      <c r="K50" s="1320" t="str">
        <f t="shared" si="9"/>
        <v/>
      </c>
      <c r="L50" s="1321"/>
      <c r="M50" s="1413"/>
      <c r="N50" s="1322"/>
      <c r="O50" s="1322"/>
      <c r="P50" s="1413" t="str">
        <f t="shared" ref="P50:P81" si="145">IF(M50="","",AK50)</f>
        <v/>
      </c>
      <c r="Q50" s="1414"/>
      <c r="R50" s="1415"/>
      <c r="S50" s="1323" t="str">
        <f t="shared" ref="S50" si="146">IF(M50="","",pb_currency_symbol)</f>
        <v/>
      </c>
      <c r="T50" s="1422"/>
      <c r="U50" s="1324" t="str">
        <f t="shared" si="115"/>
        <v/>
      </c>
      <c r="V50" s="1323" t="str">
        <f t="shared" ref="V50" si="147">IF(W50=0,"",pb_currency_symbol)</f>
        <v/>
      </c>
      <c r="W50" s="1424"/>
      <c r="X50" s="1427" t="str">
        <f t="shared" ref="X50" si="148">IF(M50="","",pb_currency_symbol)</f>
        <v/>
      </c>
      <c r="Y50" s="1326" t="str">
        <f t="shared" si="13"/>
        <v/>
      </c>
      <c r="Z50" s="1426" t="str" cm="1">
        <f t="array" ref="Z50">IF(M50="","",IF(P50=AK50,1,Slookup(MID(AK50,1,3)*1,UomConversion!$D$8:$J$500,5,UomConversion!$E$8:$E$500,MID(P50,1,3)*1,UomConversion!$J$8:$J$500,1)))</f>
        <v/>
      </c>
      <c r="AA50" s="1414" t="str">
        <f t="shared" si="14"/>
        <v/>
      </c>
      <c r="AB50" s="1416" t="str">
        <f t="shared" si="15"/>
        <v/>
      </c>
      <c r="AC50" s="1417" t="str">
        <f t="shared" si="16"/>
        <v/>
      </c>
      <c r="AD50" s="1418" t="str">
        <f t="shared" si="17"/>
        <v/>
      </c>
      <c r="AE50" s="1414" t="str">
        <f>IF(I50="","",IF(ISNA(MATCH(I50,IF(pb_location_id=1,'[1]1_inventory_totals'!$C$8:$C$10000,IF(pb_location_id=2,'[1]2_inventory_totals'!$C$8:$C$10000,"")),0)),0,IF(AR50&gt;0,1,0)))</f>
        <v/>
      </c>
      <c r="AF50" s="1414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G50" s="1414" t="str">
        <f>IF(M50="","",IF(ISNA(MATCH(I50,'[1]1_group_totals'!$C$8:$C$10000)),0,IF(AS50&gt;0,1,0)))</f>
        <v/>
      </c>
      <c r="AH50" s="1414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I50" s="1414" t="str">
        <f>IF(M50="","",IF(AJ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J50" s="1414" t="str">
        <f>IF(M50="","",SUMIFS('1_group_totals'!$J$8:$J$10000,'[1]1_group_totals'!$C$8:$C$10000,I50,'1_group_totals'!$F$8:$F$10000,pb_location_group_id,'[1]1_group_totals'!$G$8:$G$10000,pb_location_id,'[1]1_group_totals'!$H$8:$H$10000,"="&amp;Q50,'[1]1_group_totals'!$I$8:$I$10000,"="&amp;R50))</f>
        <v/>
      </c>
      <c r="AK50" s="1414" t="str">
        <f t="shared" si="18"/>
        <v/>
      </c>
      <c r="AL50" s="1414" t="str">
        <f>IF(OR(ISNA(MATCH(MID(AK50,1,3)*1,UomConversion!$D$8:$D$500,0)),M50=""),"",IF(AP50="","",AP50))</f>
        <v/>
      </c>
      <c r="AM50" s="1414" t="str">
        <f>IF(AND(AN50&gt;0,COUNTIFS(UomConversion!$D$8:$D$500,MID(AK50,1,3)*1,UomConversion!$J$8:$J$500,1)&gt;1),TEXT(AN50,"000")&amp;"."&amp;VLOOKUP(AN50,uom_list,4,FALSE),"")</f>
        <v/>
      </c>
      <c r="AN50" s="1414" t="str">
        <f t="shared" si="19"/>
        <v/>
      </c>
      <c r="AO50" s="1414" t="str">
        <f t="shared" si="20"/>
        <v/>
      </c>
      <c r="AP50" s="126" t="str">
        <f t="shared" si="21"/>
        <v/>
      </c>
      <c r="AQ50" s="126" t="str" cm="1">
        <f t="array" ref="AQ50">IF(M50="","",IF(ISNA(Slookup(MID(AK50,1,3)*1,UomConversion!$D$8:$J$500,2,UomConversion!$I$8:$I$500,1,UomConversion!$J$8:$J$500,1)),"",Slookup(MID(AK50,1,3)*1,UomConversion!$D$8:$J$500,2,UomConversion!$I$8:$I$500,1,UomConversion!$J$8:$J$500,1)))</f>
        <v/>
      </c>
      <c r="AR50" s="13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S50" s="126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5" ht="27" customHeight="1">
      <c r="A51" s="765"/>
      <c r="B51" s="922"/>
      <c r="C51" s="984"/>
      <c r="D51" s="984"/>
      <c r="E51" s="984"/>
      <c r="F51" s="940"/>
      <c r="I51" s="426" t="str">
        <f t="shared" si="8"/>
        <v/>
      </c>
      <c r="J51" s="1412" t="str">
        <f t="shared" si="22"/>
        <v/>
      </c>
      <c r="K51" s="1320" t="str">
        <f t="shared" si="9"/>
        <v/>
      </c>
      <c r="L51" s="1321"/>
      <c r="M51" s="1413"/>
      <c r="N51" s="1322"/>
      <c r="O51" s="1322"/>
      <c r="P51" s="1413" t="str">
        <f t="shared" si="145"/>
        <v/>
      </c>
      <c r="Q51" s="1414"/>
      <c r="R51" s="1415"/>
      <c r="S51" s="1323" t="str">
        <f t="shared" ref="S51" si="149">IF(M51="","",pb_currency_symbol)</f>
        <v/>
      </c>
      <c r="T51" s="1422"/>
      <c r="U51" s="1324" t="str">
        <f t="shared" si="115"/>
        <v/>
      </c>
      <c r="V51" s="1323" t="str">
        <f t="shared" ref="V51" si="150">IF(W51=0,"",pb_currency_symbol)</f>
        <v/>
      </c>
      <c r="W51" s="1424"/>
      <c r="X51" s="1427" t="str">
        <f t="shared" ref="X51" si="151">IF(M51="","",pb_currency_symbol)</f>
        <v/>
      </c>
      <c r="Y51" s="1326" t="str">
        <f t="shared" si="13"/>
        <v/>
      </c>
      <c r="Z51" s="1426" t="str" cm="1">
        <f t="array" ref="Z51">IF(M51="","",IF(P51=AK51,1,Slookup(MID(AK51,1,3)*1,UomConversion!$D$8:$J$500,5,UomConversion!$E$8:$E$500,MID(P51,1,3)*1,UomConversion!$J$8:$J$500,1)))</f>
        <v/>
      </c>
      <c r="AA51" s="1414" t="str">
        <f t="shared" si="14"/>
        <v/>
      </c>
      <c r="AB51" s="1416" t="str">
        <f t="shared" si="15"/>
        <v/>
      </c>
      <c r="AC51" s="1417" t="str">
        <f t="shared" si="16"/>
        <v/>
      </c>
      <c r="AD51" s="1418" t="str">
        <f t="shared" si="17"/>
        <v/>
      </c>
      <c r="AE51" s="1414" t="str">
        <f>IF(I51="","",IF(ISNA(MATCH(I51,IF(pb_location_id=1,'[1]1_inventory_totals'!$C$8:$C$10000,IF(pb_location_id=2,'[1]2_inventory_totals'!$C$8:$C$10000,"")),0)),0,IF(AR51&gt;0,1,0)))</f>
        <v/>
      </c>
      <c r="AF51" s="1414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G51" s="1414" t="str">
        <f>IF(M51="","",IF(ISNA(MATCH(I51,'[1]1_group_totals'!$C$8:$C$10000)),0,IF(AS51&gt;0,1,0)))</f>
        <v/>
      </c>
      <c r="AH51" s="1414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I51" s="1414" t="str">
        <f>IF(M51="","",IF(AJ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J51" s="1414" t="str">
        <f>IF(M51="","",SUMIFS('1_group_totals'!$J$8:$J$10000,'[1]1_group_totals'!$C$8:$C$10000,I51,'1_group_totals'!$F$8:$F$10000,pb_location_group_id,'[1]1_group_totals'!$G$8:$G$10000,pb_location_id,'[1]1_group_totals'!$H$8:$H$10000,"="&amp;Q51,'[1]1_group_totals'!$I$8:$I$10000,"="&amp;R51))</f>
        <v/>
      </c>
      <c r="AK51" s="1414" t="str">
        <f t="shared" si="18"/>
        <v/>
      </c>
      <c r="AL51" s="1414" t="str">
        <f>IF(OR(ISNA(MATCH(MID(AK51,1,3)*1,UomConversion!$D$8:$D$500,0)),M51=""),"",IF(AP51="","",AP51))</f>
        <v/>
      </c>
      <c r="AM51" s="1414" t="str">
        <f>IF(AND(AN51&gt;0,COUNTIFS(UomConversion!$D$8:$D$500,MID(AK51,1,3)*1,UomConversion!$J$8:$J$500,1)&gt;1),TEXT(AN51,"000")&amp;"."&amp;VLOOKUP(AN51,uom_list,4,FALSE),"")</f>
        <v/>
      </c>
      <c r="AN51" s="1414" t="str">
        <f t="shared" si="19"/>
        <v/>
      </c>
      <c r="AO51" s="1414" t="str">
        <f t="shared" si="20"/>
        <v/>
      </c>
      <c r="AP51" s="126" t="str">
        <f t="shared" si="21"/>
        <v/>
      </c>
      <c r="AQ51" s="126" t="str" cm="1">
        <f t="array" ref="AQ51">IF(M51="","",IF(ISNA(Slookup(MID(AK51,1,3)*1,UomConversion!$D$8:$J$500,2,UomConversion!$I$8:$I$500,1,UomConversion!$J$8:$J$500,1)),"",Slookup(MID(AK51,1,3)*1,UomConversion!$D$8:$J$500,2,UomConversion!$I$8:$I$500,1,UomConversion!$J$8:$J$500,1)))</f>
        <v/>
      </c>
      <c r="AR51" s="13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S51" s="126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5" ht="27" customHeight="1">
      <c r="A52" s="765"/>
      <c r="B52" s="922"/>
      <c r="C52" s="984"/>
      <c r="D52" s="984"/>
      <c r="E52" s="984"/>
      <c r="F52" s="940"/>
      <c r="I52" s="426" t="str">
        <f t="shared" si="8"/>
        <v/>
      </c>
      <c r="J52" s="1412" t="str">
        <f t="shared" si="22"/>
        <v/>
      </c>
      <c r="K52" s="1320" t="str">
        <f t="shared" si="9"/>
        <v/>
      </c>
      <c r="L52" s="1321"/>
      <c r="M52" s="1413"/>
      <c r="N52" s="1322"/>
      <c r="O52" s="1322"/>
      <c r="P52" s="1413" t="str">
        <f t="shared" si="145"/>
        <v/>
      </c>
      <c r="Q52" s="1414"/>
      <c r="R52" s="1415"/>
      <c r="S52" s="1323" t="str">
        <f t="shared" ref="S52" si="152">IF(M52="","",pb_currency_symbol)</f>
        <v/>
      </c>
      <c r="T52" s="1422"/>
      <c r="U52" s="1324" t="str">
        <f t="shared" si="115"/>
        <v/>
      </c>
      <c r="V52" s="1323" t="str">
        <f t="shared" ref="V52" si="153">IF(W52=0,"",pb_currency_symbol)</f>
        <v/>
      </c>
      <c r="W52" s="1424"/>
      <c r="X52" s="1427" t="str">
        <f t="shared" ref="X52" si="154">IF(M52="","",pb_currency_symbol)</f>
        <v/>
      </c>
      <c r="Y52" s="1326" t="str">
        <f t="shared" si="13"/>
        <v/>
      </c>
      <c r="Z52" s="1426" t="str" cm="1">
        <f t="array" ref="Z52">IF(M52="","",IF(P52=AK52,1,Slookup(MID(AK52,1,3)*1,UomConversion!$D$8:$J$500,5,UomConversion!$E$8:$E$500,MID(P52,1,3)*1,UomConversion!$J$8:$J$500,1)))</f>
        <v/>
      </c>
      <c r="AA52" s="1414" t="str">
        <f t="shared" si="14"/>
        <v/>
      </c>
      <c r="AB52" s="1416" t="str">
        <f t="shared" si="15"/>
        <v/>
      </c>
      <c r="AC52" s="1417" t="str">
        <f t="shared" si="16"/>
        <v/>
      </c>
      <c r="AD52" s="1418" t="str">
        <f t="shared" si="17"/>
        <v/>
      </c>
      <c r="AE52" s="1414" t="str">
        <f>IF(I52="","",IF(ISNA(MATCH(I52,IF(pb_location_id=1,'[1]1_inventory_totals'!$C$8:$C$10000,IF(pb_location_id=2,'[1]2_inventory_totals'!$C$8:$C$10000,"")),0)),0,IF(AR52&gt;0,1,0)))</f>
        <v/>
      </c>
      <c r="AF52" s="1414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G52" s="1414" t="str">
        <f>IF(M52="","",IF(ISNA(MATCH(I52,'[1]1_group_totals'!$C$8:$C$10000)),0,IF(AS52&gt;0,1,0)))</f>
        <v/>
      </c>
      <c r="AH52" s="1414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I52" s="1414" t="str">
        <f>IF(M52="","",IF(AJ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J52" s="1414" t="str">
        <f>IF(M52="","",SUMIFS('1_group_totals'!$J$8:$J$10000,'[1]1_group_totals'!$C$8:$C$10000,I52,'1_group_totals'!$F$8:$F$10000,pb_location_group_id,'[1]1_group_totals'!$G$8:$G$10000,pb_location_id,'[1]1_group_totals'!$H$8:$H$10000,"="&amp;Q52,'[1]1_group_totals'!$I$8:$I$10000,"="&amp;R52))</f>
        <v/>
      </c>
      <c r="AK52" s="1414" t="str">
        <f t="shared" si="18"/>
        <v/>
      </c>
      <c r="AL52" s="1414" t="str">
        <f>IF(OR(ISNA(MATCH(MID(AK52,1,3)*1,UomConversion!$D$8:$D$500,0)),M52=""),"",IF(AP52="","",AP52))</f>
        <v/>
      </c>
      <c r="AM52" s="1414" t="str">
        <f>IF(AND(AN52&gt;0,COUNTIFS(UomConversion!$D$8:$D$500,MID(AK52,1,3)*1,UomConversion!$J$8:$J$500,1)&gt;1),TEXT(AN52,"000")&amp;"."&amp;VLOOKUP(AN52,uom_list,4,FALSE),"")</f>
        <v/>
      </c>
      <c r="AN52" s="1414" t="str">
        <f t="shared" si="19"/>
        <v/>
      </c>
      <c r="AO52" s="1414" t="str">
        <f t="shared" si="20"/>
        <v/>
      </c>
      <c r="AP52" s="126" t="str">
        <f t="shared" si="21"/>
        <v/>
      </c>
      <c r="AQ52" s="126" t="str" cm="1">
        <f t="array" ref="AQ52">IF(M52="","",IF(ISNA(Slookup(MID(AK52,1,3)*1,UomConversion!$D$8:$J$500,2,UomConversion!$I$8:$I$500,1,UomConversion!$J$8:$J$500,1)),"",Slookup(MID(AK52,1,3)*1,UomConversion!$D$8:$J$500,2,UomConversion!$I$8:$I$500,1,UomConversion!$J$8:$J$500,1)))</f>
        <v/>
      </c>
      <c r="AR52" s="13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S52" s="126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5" ht="27" customHeight="1">
      <c r="A53" s="765"/>
      <c r="B53" s="931"/>
      <c r="C53" s="984"/>
      <c r="D53" s="984"/>
      <c r="E53" s="984"/>
      <c r="F53" s="942"/>
      <c r="G53" s="213"/>
      <c r="H53" s="906"/>
      <c r="I53" s="426" t="str">
        <f t="shared" si="8"/>
        <v/>
      </c>
      <c r="J53" s="1412" t="str">
        <f t="shared" si="22"/>
        <v/>
      </c>
      <c r="K53" s="1320" t="str">
        <f t="shared" si="9"/>
        <v/>
      </c>
      <c r="L53" s="1321"/>
      <c r="M53" s="1413"/>
      <c r="N53" s="1322"/>
      <c r="O53" s="1322"/>
      <c r="P53" s="1413" t="str">
        <f t="shared" si="145"/>
        <v/>
      </c>
      <c r="Q53" s="1414"/>
      <c r="R53" s="1415"/>
      <c r="S53" s="1323" t="str">
        <f t="shared" ref="S53" si="155">IF(M53="","",pb_currency_symbol)</f>
        <v/>
      </c>
      <c r="T53" s="1422"/>
      <c r="U53" s="1324" t="str">
        <f t="shared" si="115"/>
        <v/>
      </c>
      <c r="V53" s="1323" t="str">
        <f t="shared" ref="V53" si="156">IF(W53=0,"",pb_currency_symbol)</f>
        <v/>
      </c>
      <c r="W53" s="1424"/>
      <c r="X53" s="1427" t="str">
        <f t="shared" ref="X53" si="157">IF(M53="","",pb_currency_symbol)</f>
        <v/>
      </c>
      <c r="Y53" s="1326" t="str">
        <f t="shared" si="13"/>
        <v/>
      </c>
      <c r="Z53" s="1426" t="str" cm="1">
        <f t="array" ref="Z53">IF(M53="","",IF(P53=AK53,1,Slookup(MID(AK53,1,3)*1,UomConversion!$D$8:$J$500,5,UomConversion!$E$8:$E$500,MID(P53,1,3)*1,UomConversion!$J$8:$J$500,1)))</f>
        <v/>
      </c>
      <c r="AA53" s="1414" t="str">
        <f t="shared" si="14"/>
        <v/>
      </c>
      <c r="AB53" s="1416" t="str">
        <f t="shared" si="15"/>
        <v/>
      </c>
      <c r="AC53" s="1417" t="str">
        <f t="shared" si="16"/>
        <v/>
      </c>
      <c r="AD53" s="1418" t="str">
        <f t="shared" si="17"/>
        <v/>
      </c>
      <c r="AE53" s="1414" t="str">
        <f>IF(I53="","",IF(ISNA(MATCH(I53,IF(pb_location_id=1,'[1]1_inventory_totals'!$C$8:$C$10000,IF(pb_location_id=2,'[1]2_inventory_totals'!$C$8:$C$10000,"")),0)),0,IF(AR53&gt;0,1,0)))</f>
        <v/>
      </c>
      <c r="AF53" s="1414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G53" s="1414" t="str">
        <f>IF(M53="","",IF(ISNA(MATCH(I53,'[1]1_group_totals'!$C$8:$C$10000)),0,IF(AS53&gt;0,1,0)))</f>
        <v/>
      </c>
      <c r="AH53" s="1414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I53" s="1414" t="str">
        <f>IF(M53="","",IF(AJ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J53" s="1414" t="str">
        <f>IF(M53="","",SUMIFS('1_group_totals'!$J$8:$J$10000,'[1]1_group_totals'!$C$8:$C$10000,I53,'1_group_totals'!$F$8:$F$10000,pb_location_group_id,'[1]1_group_totals'!$G$8:$G$10000,pb_location_id,'[1]1_group_totals'!$H$8:$H$10000,"="&amp;Q53,'[1]1_group_totals'!$I$8:$I$10000,"="&amp;R53))</f>
        <v/>
      </c>
      <c r="AK53" s="1414" t="str">
        <f t="shared" si="18"/>
        <v/>
      </c>
      <c r="AL53" s="1414" t="str">
        <f>IF(OR(ISNA(MATCH(MID(AK53,1,3)*1,UomConversion!$D$8:$D$500,0)),M53=""),"",IF(AP53="","",AP53))</f>
        <v/>
      </c>
      <c r="AM53" s="1414" t="str">
        <f>IF(AND(AN53&gt;0,COUNTIFS(UomConversion!$D$8:$D$500,MID(AK53,1,3)*1,UomConversion!$J$8:$J$500,1)&gt;1),TEXT(AN53,"000")&amp;"."&amp;VLOOKUP(AN53,uom_list,4,FALSE),"")</f>
        <v/>
      </c>
      <c r="AN53" s="1414" t="str">
        <f t="shared" si="19"/>
        <v/>
      </c>
      <c r="AO53" s="1414" t="str">
        <f t="shared" si="20"/>
        <v/>
      </c>
      <c r="AP53" s="126" t="str">
        <f t="shared" si="21"/>
        <v/>
      </c>
      <c r="AQ53" s="126" t="str" cm="1">
        <f t="array" ref="AQ53">IF(M53="","",IF(ISNA(Slookup(MID(AK53,1,3)*1,UomConversion!$D$8:$J$500,2,UomConversion!$I$8:$I$500,1,UomConversion!$J$8:$J$500,1)),"",Slookup(MID(AK53,1,3)*1,UomConversion!$D$8:$J$500,2,UomConversion!$I$8:$I$500,1,UomConversion!$J$8:$J$500,1)))</f>
        <v/>
      </c>
      <c r="AR53" s="13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S53" s="126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5" ht="27" customHeight="1">
      <c r="A54" s="765"/>
      <c r="B54" s="931"/>
      <c r="C54" s="984"/>
      <c r="D54" s="984"/>
      <c r="E54" s="984"/>
      <c r="F54" s="942"/>
      <c r="G54" s="213"/>
      <c r="H54" s="906"/>
      <c r="I54" s="426" t="str">
        <f t="shared" si="8"/>
        <v/>
      </c>
      <c r="J54" s="1412" t="str">
        <f t="shared" si="22"/>
        <v/>
      </c>
      <c r="K54" s="1320" t="str">
        <f t="shared" si="9"/>
        <v/>
      </c>
      <c r="L54" s="1321"/>
      <c r="M54" s="1413"/>
      <c r="N54" s="1322"/>
      <c r="O54" s="1322"/>
      <c r="P54" s="1413" t="str">
        <f t="shared" si="145"/>
        <v/>
      </c>
      <c r="Q54" s="1414"/>
      <c r="R54" s="1415"/>
      <c r="S54" s="1323" t="str">
        <f t="shared" ref="S54" si="158">IF(M54="","",pb_currency_symbol)</f>
        <v/>
      </c>
      <c r="T54" s="1422"/>
      <c r="U54" s="1324" t="str">
        <f t="shared" si="115"/>
        <v/>
      </c>
      <c r="V54" s="1323" t="str">
        <f t="shared" ref="V54" si="159">IF(W54=0,"",pb_currency_symbol)</f>
        <v/>
      </c>
      <c r="W54" s="1424"/>
      <c r="X54" s="1427" t="str">
        <f t="shared" ref="X54" si="160">IF(M54="","",pb_currency_symbol)</f>
        <v/>
      </c>
      <c r="Y54" s="1326" t="str">
        <f t="shared" si="13"/>
        <v/>
      </c>
      <c r="Z54" s="1426" t="str" cm="1">
        <f t="array" ref="Z54">IF(M54="","",IF(P54=AK54,1,Slookup(MID(AK54,1,3)*1,UomConversion!$D$8:$J$500,5,UomConversion!$E$8:$E$500,MID(P54,1,3)*1,UomConversion!$J$8:$J$500,1)))</f>
        <v/>
      </c>
      <c r="AA54" s="1414" t="str">
        <f t="shared" si="14"/>
        <v/>
      </c>
      <c r="AB54" s="1416" t="str">
        <f t="shared" si="15"/>
        <v/>
      </c>
      <c r="AC54" s="1417" t="str">
        <f t="shared" si="16"/>
        <v/>
      </c>
      <c r="AD54" s="1418" t="str">
        <f t="shared" si="17"/>
        <v/>
      </c>
      <c r="AE54" s="1414" t="str">
        <f>IF(I54="","",IF(ISNA(MATCH(I54,IF(pb_location_id=1,'[1]1_inventory_totals'!$C$8:$C$10000,IF(pb_location_id=2,'[1]2_inventory_totals'!$C$8:$C$10000,"")),0)),0,IF(AR54&gt;0,1,0)))</f>
        <v/>
      </c>
      <c r="AF54" s="1414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G54" s="1414" t="str">
        <f>IF(M54="","",IF(ISNA(MATCH(I54,'[1]1_group_totals'!$C$8:$C$10000)),0,IF(AS54&gt;0,1,0)))</f>
        <v/>
      </c>
      <c r="AH54" s="1414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I54" s="1414" t="str">
        <f>IF(M54="","",IF(AJ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J54" s="1414" t="str">
        <f>IF(M54="","",SUMIFS('1_group_totals'!$J$8:$J$10000,'[1]1_group_totals'!$C$8:$C$10000,I54,'1_group_totals'!$F$8:$F$10000,pb_location_group_id,'[1]1_group_totals'!$G$8:$G$10000,pb_location_id,'[1]1_group_totals'!$H$8:$H$10000,"="&amp;Q54,'[1]1_group_totals'!$I$8:$I$10000,"="&amp;R54))</f>
        <v/>
      </c>
      <c r="AK54" s="1414" t="str">
        <f t="shared" si="18"/>
        <v/>
      </c>
      <c r="AL54" s="1414" t="str">
        <f>IF(OR(ISNA(MATCH(MID(AK54,1,3)*1,UomConversion!$D$8:$D$500,0)),M54=""),"",IF(AP54="","",AP54))</f>
        <v/>
      </c>
      <c r="AM54" s="1414" t="str">
        <f>IF(AND(AN54&gt;0,COUNTIFS(UomConversion!$D$8:$D$500,MID(AK54,1,3)*1,UomConversion!$J$8:$J$500,1)&gt;1),TEXT(AN54,"000")&amp;"."&amp;VLOOKUP(AN54,uom_list,4,FALSE),"")</f>
        <v/>
      </c>
      <c r="AN54" s="1414" t="str">
        <f t="shared" si="19"/>
        <v/>
      </c>
      <c r="AO54" s="1414" t="str">
        <f t="shared" si="20"/>
        <v/>
      </c>
      <c r="AP54" s="126" t="str">
        <f t="shared" si="21"/>
        <v/>
      </c>
      <c r="AQ54" s="126" t="str" cm="1">
        <f t="array" ref="AQ54">IF(M54="","",IF(ISNA(Slookup(MID(AK54,1,3)*1,UomConversion!$D$8:$J$500,2,UomConversion!$I$8:$I$500,1,UomConversion!$J$8:$J$500,1)),"",Slookup(MID(AK54,1,3)*1,UomConversion!$D$8:$J$500,2,UomConversion!$I$8:$I$500,1,UomConversion!$J$8:$J$500,1)))</f>
        <v/>
      </c>
      <c r="AR54" s="13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S54" s="126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5" ht="27" customHeight="1">
      <c r="A55" s="765"/>
      <c r="B55" s="931"/>
      <c r="C55" s="984"/>
      <c r="D55" s="984"/>
      <c r="E55" s="984"/>
      <c r="F55" s="942"/>
      <c r="G55" s="213"/>
      <c r="H55" s="906"/>
      <c r="I55" s="426" t="str">
        <f t="shared" si="8"/>
        <v/>
      </c>
      <c r="J55" s="1412" t="str">
        <f t="shared" si="22"/>
        <v/>
      </c>
      <c r="K55" s="1320" t="str">
        <f t="shared" si="9"/>
        <v/>
      </c>
      <c r="L55" s="1321"/>
      <c r="M55" s="1413"/>
      <c r="N55" s="1322"/>
      <c r="O55" s="1322"/>
      <c r="P55" s="1413" t="str">
        <f t="shared" si="145"/>
        <v/>
      </c>
      <c r="Q55" s="1414"/>
      <c r="R55" s="1415"/>
      <c r="S55" s="1323" t="str">
        <f t="shared" ref="S55" si="161">IF(M55="","",pb_currency_symbol)</f>
        <v/>
      </c>
      <c r="T55" s="1422"/>
      <c r="U55" s="1324" t="str">
        <f t="shared" si="115"/>
        <v/>
      </c>
      <c r="V55" s="1323" t="str">
        <f t="shared" ref="V55" si="162">IF(W55=0,"",pb_currency_symbol)</f>
        <v/>
      </c>
      <c r="W55" s="1424"/>
      <c r="X55" s="1427" t="str">
        <f t="shared" ref="X55" si="163">IF(M55="","",pb_currency_symbol)</f>
        <v/>
      </c>
      <c r="Y55" s="1326" t="str">
        <f t="shared" si="13"/>
        <v/>
      </c>
      <c r="Z55" s="1426" t="str" cm="1">
        <f t="array" ref="Z55">IF(M55="","",IF(P55=AK55,1,Slookup(MID(AK55,1,3)*1,UomConversion!$D$8:$J$500,5,UomConversion!$E$8:$E$500,MID(P55,1,3)*1,UomConversion!$J$8:$J$500,1)))</f>
        <v/>
      </c>
      <c r="AA55" s="1414" t="str">
        <f t="shared" si="14"/>
        <v/>
      </c>
      <c r="AB55" s="1416" t="str">
        <f t="shared" si="15"/>
        <v/>
      </c>
      <c r="AC55" s="1417" t="str">
        <f t="shared" si="16"/>
        <v/>
      </c>
      <c r="AD55" s="1418" t="str">
        <f t="shared" si="17"/>
        <v/>
      </c>
      <c r="AE55" s="1414" t="str">
        <f>IF(I55="","",IF(ISNA(MATCH(I55,IF(pb_location_id=1,'[1]1_inventory_totals'!$C$8:$C$10000,IF(pb_location_id=2,'[1]2_inventory_totals'!$C$8:$C$10000,"")),0)),0,IF(AR55&gt;0,1,0)))</f>
        <v/>
      </c>
      <c r="AF55" s="1414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G55" s="1414" t="str">
        <f>IF(M55="","",IF(ISNA(MATCH(I55,'[1]1_group_totals'!$C$8:$C$10000)),0,IF(AS55&gt;0,1,0)))</f>
        <v/>
      </c>
      <c r="AH55" s="1414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I55" s="1414" t="str">
        <f>IF(M55="","",IF(AJ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J55" s="1414" t="str">
        <f>IF(M55="","",SUMIFS('1_group_totals'!$J$8:$J$10000,'[1]1_group_totals'!$C$8:$C$10000,I55,'1_group_totals'!$F$8:$F$10000,pb_location_group_id,'[1]1_group_totals'!$G$8:$G$10000,pb_location_id,'[1]1_group_totals'!$H$8:$H$10000,"="&amp;Q55,'[1]1_group_totals'!$I$8:$I$10000,"="&amp;R55))</f>
        <v/>
      </c>
      <c r="AK55" s="1414" t="str">
        <f t="shared" si="18"/>
        <v/>
      </c>
      <c r="AL55" s="1414" t="str">
        <f>IF(OR(ISNA(MATCH(MID(AK55,1,3)*1,UomConversion!$D$8:$D$500,0)),M55=""),"",IF(AP55="","",AP55))</f>
        <v/>
      </c>
      <c r="AM55" s="1414" t="str">
        <f>IF(AND(AN55&gt;0,COUNTIFS(UomConversion!$D$8:$D$500,MID(AK55,1,3)*1,UomConversion!$J$8:$J$500,1)&gt;1),TEXT(AN55,"000")&amp;"."&amp;VLOOKUP(AN55,uom_list,4,FALSE),"")</f>
        <v/>
      </c>
      <c r="AN55" s="1414" t="str">
        <f t="shared" si="19"/>
        <v/>
      </c>
      <c r="AO55" s="1414" t="str">
        <f t="shared" si="20"/>
        <v/>
      </c>
      <c r="AP55" s="126" t="str">
        <f t="shared" si="21"/>
        <v/>
      </c>
      <c r="AQ55" s="126" t="str" cm="1">
        <f t="array" ref="AQ55">IF(M55="","",IF(ISNA(Slookup(MID(AK55,1,3)*1,UomConversion!$D$8:$J$500,2,UomConversion!$I$8:$I$500,1,UomConversion!$J$8:$J$500,1)),"",Slookup(MID(AK55,1,3)*1,UomConversion!$D$8:$J$500,2,UomConversion!$I$8:$I$500,1,UomConversion!$J$8:$J$500,1)))</f>
        <v/>
      </c>
      <c r="AR55" s="13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S55" s="126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5" ht="27" customHeight="1">
      <c r="A56" s="765"/>
      <c r="B56" s="931"/>
      <c r="C56" s="984"/>
      <c r="D56" s="984"/>
      <c r="E56" s="984"/>
      <c r="F56" s="942"/>
      <c r="G56" s="213"/>
      <c r="H56" s="906"/>
      <c r="I56" s="426" t="str">
        <f t="shared" si="8"/>
        <v/>
      </c>
      <c r="J56" s="1412" t="str">
        <f t="shared" si="22"/>
        <v/>
      </c>
      <c r="K56" s="1320" t="str">
        <f t="shared" si="9"/>
        <v/>
      </c>
      <c r="L56" s="1321"/>
      <c r="M56" s="1413"/>
      <c r="N56" s="1322"/>
      <c r="O56" s="1322"/>
      <c r="P56" s="1413" t="str">
        <f t="shared" si="145"/>
        <v/>
      </c>
      <c r="Q56" s="1414"/>
      <c r="R56" s="1415"/>
      <c r="S56" s="1323" t="str">
        <f t="shared" ref="S56" si="164">IF(M56="","",pb_currency_symbol)</f>
        <v/>
      </c>
      <c r="T56" s="1422"/>
      <c r="U56" s="1324" t="str">
        <f t="shared" si="115"/>
        <v/>
      </c>
      <c r="V56" s="1323" t="str">
        <f t="shared" ref="V56" si="165">IF(W56=0,"",pb_currency_symbol)</f>
        <v/>
      </c>
      <c r="W56" s="1424"/>
      <c r="X56" s="1427" t="str">
        <f t="shared" ref="X56" si="166">IF(M56="","",pb_currency_symbol)</f>
        <v/>
      </c>
      <c r="Y56" s="1326" t="str">
        <f t="shared" si="13"/>
        <v/>
      </c>
      <c r="Z56" s="1426" t="str" cm="1">
        <f t="array" ref="Z56">IF(M56="","",IF(P56=AK56,1,Slookup(MID(AK56,1,3)*1,UomConversion!$D$8:$J$500,5,UomConversion!$E$8:$E$500,MID(P56,1,3)*1,UomConversion!$J$8:$J$500,1)))</f>
        <v/>
      </c>
      <c r="AA56" s="1414" t="str">
        <f t="shared" si="14"/>
        <v/>
      </c>
      <c r="AB56" s="1416" t="str">
        <f t="shared" si="15"/>
        <v/>
      </c>
      <c r="AC56" s="1417" t="str">
        <f t="shared" si="16"/>
        <v/>
      </c>
      <c r="AD56" s="1418" t="str">
        <f t="shared" si="17"/>
        <v/>
      </c>
      <c r="AE56" s="1414" t="str">
        <f>IF(I56="","",IF(ISNA(MATCH(I56,IF(pb_location_id=1,'[1]1_inventory_totals'!$C$8:$C$10000,IF(pb_location_id=2,'[1]2_inventory_totals'!$C$8:$C$10000,"")),0)),0,IF(AR56&gt;0,1,0)))</f>
        <v/>
      </c>
      <c r="AF56" s="1414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G56" s="1414" t="str">
        <f>IF(M56="","",IF(ISNA(MATCH(I56,'[1]1_group_totals'!$C$8:$C$10000)),0,IF(AS56&gt;0,1,0)))</f>
        <v/>
      </c>
      <c r="AH56" s="1414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I56" s="1414" t="str">
        <f>IF(M56="","",IF(AJ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J56" s="1414" t="str">
        <f>IF(M56="","",SUMIFS('1_group_totals'!$J$8:$J$10000,'[1]1_group_totals'!$C$8:$C$10000,I56,'1_group_totals'!$F$8:$F$10000,pb_location_group_id,'[1]1_group_totals'!$G$8:$G$10000,pb_location_id,'[1]1_group_totals'!$H$8:$H$10000,"="&amp;Q56,'[1]1_group_totals'!$I$8:$I$10000,"="&amp;R56))</f>
        <v/>
      </c>
      <c r="AK56" s="1414" t="str">
        <f t="shared" si="18"/>
        <v/>
      </c>
      <c r="AL56" s="1414" t="str">
        <f>IF(OR(ISNA(MATCH(MID(AK56,1,3)*1,UomConversion!$D$8:$D$500,0)),M56=""),"",IF(AP56="","",AP56))</f>
        <v/>
      </c>
      <c r="AM56" s="1414" t="str">
        <f>IF(AND(AN56&gt;0,COUNTIFS(UomConversion!$D$8:$D$500,MID(AK56,1,3)*1,UomConversion!$J$8:$J$500,1)&gt;1),TEXT(AN56,"000")&amp;"."&amp;VLOOKUP(AN56,uom_list,4,FALSE),"")</f>
        <v/>
      </c>
      <c r="AN56" s="1414" t="str">
        <f t="shared" si="19"/>
        <v/>
      </c>
      <c r="AO56" s="1414" t="str">
        <f t="shared" si="20"/>
        <v/>
      </c>
      <c r="AP56" s="126" t="str">
        <f t="shared" si="21"/>
        <v/>
      </c>
      <c r="AQ56" s="126" t="str" cm="1">
        <f t="array" ref="AQ56">IF(M56="","",IF(ISNA(Slookup(MID(AK56,1,3)*1,UomConversion!$D$8:$J$500,2,UomConversion!$I$8:$I$500,1,UomConversion!$J$8:$J$500,1)),"",Slookup(MID(AK56,1,3)*1,UomConversion!$D$8:$J$500,2,UomConversion!$I$8:$I$500,1,UomConversion!$J$8:$J$500,1)))</f>
        <v/>
      </c>
      <c r="AR56" s="13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S56" s="126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5" ht="27" customHeight="1">
      <c r="A57" s="765"/>
      <c r="B57" s="931"/>
      <c r="C57" s="984"/>
      <c r="D57" s="984"/>
      <c r="E57" s="984"/>
      <c r="F57" s="942"/>
      <c r="G57" s="213"/>
      <c r="H57" s="906"/>
      <c r="I57" s="426" t="str">
        <f t="shared" si="8"/>
        <v/>
      </c>
      <c r="J57" s="1412" t="str">
        <f t="shared" si="22"/>
        <v/>
      </c>
      <c r="K57" s="1320" t="str">
        <f t="shared" si="9"/>
        <v/>
      </c>
      <c r="L57" s="1321"/>
      <c r="M57" s="1413"/>
      <c r="N57" s="1322"/>
      <c r="O57" s="1322"/>
      <c r="P57" s="1413" t="str">
        <f t="shared" si="145"/>
        <v/>
      </c>
      <c r="Q57" s="1414"/>
      <c r="R57" s="1415"/>
      <c r="S57" s="1323" t="str">
        <f t="shared" ref="S57" si="167">IF(M57="","",pb_currency_symbol)</f>
        <v/>
      </c>
      <c r="T57" s="1422"/>
      <c r="U57" s="1324" t="str">
        <f t="shared" si="115"/>
        <v/>
      </c>
      <c r="V57" s="1323" t="str">
        <f t="shared" ref="V57" si="168">IF(W57=0,"",pb_currency_symbol)</f>
        <v/>
      </c>
      <c r="W57" s="1424"/>
      <c r="X57" s="1427" t="str">
        <f t="shared" ref="X57" si="169">IF(M57="","",pb_currency_symbol)</f>
        <v/>
      </c>
      <c r="Y57" s="1326" t="str">
        <f t="shared" si="13"/>
        <v/>
      </c>
      <c r="Z57" s="1426" t="str" cm="1">
        <f t="array" ref="Z57">IF(M57="","",IF(P57=AK57,1,Slookup(MID(AK57,1,3)*1,UomConversion!$D$8:$J$500,5,UomConversion!$E$8:$E$500,MID(P57,1,3)*1,UomConversion!$J$8:$J$500,1)))</f>
        <v/>
      </c>
      <c r="AA57" s="1414" t="str">
        <f t="shared" si="14"/>
        <v/>
      </c>
      <c r="AB57" s="1416" t="str">
        <f t="shared" si="15"/>
        <v/>
      </c>
      <c r="AC57" s="1417" t="str">
        <f t="shared" si="16"/>
        <v/>
      </c>
      <c r="AD57" s="1418" t="str">
        <f t="shared" si="17"/>
        <v/>
      </c>
      <c r="AE57" s="1414" t="str">
        <f>IF(I57="","",IF(ISNA(MATCH(I57,IF(pb_location_id=1,'[1]1_inventory_totals'!$C$8:$C$10000,IF(pb_location_id=2,'[1]2_inventory_totals'!$C$8:$C$10000,"")),0)),0,IF(AR57&gt;0,1,0)))</f>
        <v/>
      </c>
      <c r="AF57" s="1414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G57" s="1414" t="str">
        <f>IF(M57="","",IF(ISNA(MATCH(I57,'[1]1_group_totals'!$C$8:$C$10000)),0,IF(AS57&gt;0,1,0)))</f>
        <v/>
      </c>
      <c r="AH57" s="1414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I57" s="1414" t="str">
        <f>IF(M57="","",IF(AJ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J57" s="1414" t="str">
        <f>IF(M57="","",SUMIFS('1_group_totals'!$J$8:$J$10000,'[1]1_group_totals'!$C$8:$C$10000,I57,'1_group_totals'!$F$8:$F$10000,pb_location_group_id,'[1]1_group_totals'!$G$8:$G$10000,pb_location_id,'[1]1_group_totals'!$H$8:$H$10000,"="&amp;Q57,'[1]1_group_totals'!$I$8:$I$10000,"="&amp;R57))</f>
        <v/>
      </c>
      <c r="AK57" s="1414" t="str">
        <f t="shared" si="18"/>
        <v/>
      </c>
      <c r="AL57" s="1414" t="str">
        <f>IF(OR(ISNA(MATCH(MID(AK57,1,3)*1,UomConversion!$D$8:$D$500,0)),M57=""),"",IF(AP57="","",AP57))</f>
        <v/>
      </c>
      <c r="AM57" s="1414" t="str">
        <f>IF(AND(AN57&gt;0,COUNTIFS(UomConversion!$D$8:$D$500,MID(AK57,1,3)*1,UomConversion!$J$8:$J$500,1)&gt;1),TEXT(AN57,"000")&amp;"."&amp;VLOOKUP(AN57,uom_list,4,FALSE),"")</f>
        <v/>
      </c>
      <c r="AN57" s="1414" t="str">
        <f t="shared" si="19"/>
        <v/>
      </c>
      <c r="AO57" s="1414" t="str">
        <f t="shared" si="20"/>
        <v/>
      </c>
      <c r="AP57" s="126" t="str">
        <f t="shared" si="21"/>
        <v/>
      </c>
      <c r="AQ57" s="126" t="str" cm="1">
        <f t="array" ref="AQ57">IF(M57="","",IF(ISNA(Slookup(MID(AK57,1,3)*1,UomConversion!$D$8:$J$500,2,UomConversion!$I$8:$I$500,1,UomConversion!$J$8:$J$500,1)),"",Slookup(MID(AK57,1,3)*1,UomConversion!$D$8:$J$500,2,UomConversion!$I$8:$I$500,1,UomConversion!$J$8:$J$500,1)))</f>
        <v/>
      </c>
      <c r="AR57" s="13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S57" s="126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5" ht="27" customHeight="1">
      <c r="A58" s="765"/>
      <c r="B58" s="931"/>
      <c r="C58" s="984"/>
      <c r="D58" s="984"/>
      <c r="E58" s="984"/>
      <c r="F58" s="942"/>
      <c r="G58" s="213"/>
      <c r="H58" s="906"/>
      <c r="I58" s="426" t="str">
        <f t="shared" si="8"/>
        <v/>
      </c>
      <c r="J58" s="1412" t="str">
        <f t="shared" si="22"/>
        <v/>
      </c>
      <c r="K58" s="1320" t="str">
        <f t="shared" si="9"/>
        <v/>
      </c>
      <c r="L58" s="1321"/>
      <c r="M58" s="1413"/>
      <c r="N58" s="1322"/>
      <c r="O58" s="1322"/>
      <c r="P58" s="1413" t="str">
        <f t="shared" si="145"/>
        <v/>
      </c>
      <c r="Q58" s="1414"/>
      <c r="R58" s="1415"/>
      <c r="S58" s="1323" t="str">
        <f t="shared" ref="S58" si="170">IF(M58="","",pb_currency_symbol)</f>
        <v/>
      </c>
      <c r="T58" s="1422"/>
      <c r="U58" s="1324" t="str">
        <f t="shared" si="115"/>
        <v/>
      </c>
      <c r="V58" s="1323" t="str">
        <f t="shared" ref="V58" si="171">IF(W58=0,"",pb_currency_symbol)</f>
        <v/>
      </c>
      <c r="W58" s="1424"/>
      <c r="X58" s="1427" t="str">
        <f t="shared" ref="X58" si="172">IF(M58="","",pb_currency_symbol)</f>
        <v/>
      </c>
      <c r="Y58" s="1326" t="str">
        <f t="shared" si="13"/>
        <v/>
      </c>
      <c r="Z58" s="1426" t="str" cm="1">
        <f t="array" ref="Z58">IF(M58="","",IF(P58=AK58,1,Slookup(MID(AK58,1,3)*1,UomConversion!$D$8:$J$500,5,UomConversion!$E$8:$E$500,MID(P58,1,3)*1,UomConversion!$J$8:$J$500,1)))</f>
        <v/>
      </c>
      <c r="AA58" s="1414" t="str">
        <f t="shared" si="14"/>
        <v/>
      </c>
      <c r="AB58" s="1416" t="str">
        <f t="shared" si="15"/>
        <v/>
      </c>
      <c r="AC58" s="1417" t="str">
        <f t="shared" si="16"/>
        <v/>
      </c>
      <c r="AD58" s="1418" t="str">
        <f t="shared" si="17"/>
        <v/>
      </c>
      <c r="AE58" s="1414" t="str">
        <f>IF(I58="","",IF(ISNA(MATCH(I58,IF(pb_location_id=1,'[1]1_inventory_totals'!$C$8:$C$10000,IF(pb_location_id=2,'[1]2_inventory_totals'!$C$8:$C$10000,"")),0)),0,IF(AR58&gt;0,1,0)))</f>
        <v/>
      </c>
      <c r="AF58" s="1414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G58" s="1414" t="str">
        <f>IF(M58="","",IF(ISNA(MATCH(I58,'[1]1_group_totals'!$C$8:$C$10000)),0,IF(AS58&gt;0,1,0)))</f>
        <v/>
      </c>
      <c r="AH58" s="1414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I58" s="1414" t="str">
        <f>IF(M58="","",IF(AJ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J58" s="1414" t="str">
        <f>IF(M58="","",SUMIFS('1_group_totals'!$J$8:$J$10000,'[1]1_group_totals'!$C$8:$C$10000,I58,'1_group_totals'!$F$8:$F$10000,pb_location_group_id,'[1]1_group_totals'!$G$8:$G$10000,pb_location_id,'[1]1_group_totals'!$H$8:$H$10000,"="&amp;Q58,'[1]1_group_totals'!$I$8:$I$10000,"="&amp;R58))</f>
        <v/>
      </c>
      <c r="AK58" s="1414" t="str">
        <f t="shared" si="18"/>
        <v/>
      </c>
      <c r="AL58" s="1414" t="str">
        <f>IF(OR(ISNA(MATCH(MID(AK58,1,3)*1,UomConversion!$D$8:$D$500,0)),M58=""),"",IF(AP58="","",AP58))</f>
        <v/>
      </c>
      <c r="AM58" s="1414" t="str">
        <f>IF(AND(AN58&gt;0,COUNTIFS(UomConversion!$D$8:$D$500,MID(AK58,1,3)*1,UomConversion!$J$8:$J$500,1)&gt;1),TEXT(AN58,"000")&amp;"."&amp;VLOOKUP(AN58,uom_list,4,FALSE),"")</f>
        <v/>
      </c>
      <c r="AN58" s="1414" t="str">
        <f t="shared" si="19"/>
        <v/>
      </c>
      <c r="AO58" s="1414" t="str">
        <f t="shared" si="20"/>
        <v/>
      </c>
      <c r="AP58" s="126" t="str">
        <f t="shared" si="21"/>
        <v/>
      </c>
      <c r="AQ58" s="126" t="str" cm="1">
        <f t="array" ref="AQ58">IF(M58="","",IF(ISNA(Slookup(MID(AK58,1,3)*1,UomConversion!$D$8:$J$500,2,UomConversion!$I$8:$I$500,1,UomConversion!$J$8:$J$500,1)),"",Slookup(MID(AK58,1,3)*1,UomConversion!$D$8:$J$500,2,UomConversion!$I$8:$I$500,1,UomConversion!$J$8:$J$500,1)))</f>
        <v/>
      </c>
      <c r="AR58" s="13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S58" s="126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5" ht="27" customHeight="1">
      <c r="A59" s="765"/>
      <c r="B59" s="931"/>
      <c r="C59" s="984"/>
      <c r="D59" s="984"/>
      <c r="E59" s="984"/>
      <c r="F59" s="942"/>
      <c r="G59" s="213"/>
      <c r="H59" s="906"/>
      <c r="I59" s="426" t="str">
        <f t="shared" si="8"/>
        <v/>
      </c>
      <c r="J59" s="1412" t="str">
        <f t="shared" si="22"/>
        <v/>
      </c>
      <c r="K59" s="1320" t="str">
        <f t="shared" si="9"/>
        <v/>
      </c>
      <c r="L59" s="1321"/>
      <c r="M59" s="1413"/>
      <c r="N59" s="1322"/>
      <c r="O59" s="1322"/>
      <c r="P59" s="1413" t="str">
        <f t="shared" si="145"/>
        <v/>
      </c>
      <c r="Q59" s="1414"/>
      <c r="R59" s="1415"/>
      <c r="S59" s="1323" t="str">
        <f t="shared" ref="S59" si="173">IF(M59="","",pb_currency_symbol)</f>
        <v/>
      </c>
      <c r="T59" s="1422"/>
      <c r="U59" s="1324" t="str">
        <f t="shared" si="115"/>
        <v/>
      </c>
      <c r="V59" s="1323" t="str">
        <f t="shared" ref="V59" si="174">IF(W59=0,"",pb_currency_symbol)</f>
        <v/>
      </c>
      <c r="W59" s="1424"/>
      <c r="X59" s="1427" t="str">
        <f t="shared" ref="X59" si="175">IF(M59="","",pb_currency_symbol)</f>
        <v/>
      </c>
      <c r="Y59" s="1326" t="str">
        <f t="shared" si="13"/>
        <v/>
      </c>
      <c r="Z59" s="1426" t="str" cm="1">
        <f t="array" ref="Z59">IF(M59="","",IF(P59=AK59,1,Slookup(MID(AK59,1,3)*1,UomConversion!$D$8:$J$500,5,UomConversion!$E$8:$E$500,MID(P59,1,3)*1,UomConversion!$J$8:$J$500,1)))</f>
        <v/>
      </c>
      <c r="AA59" s="1414" t="str">
        <f t="shared" si="14"/>
        <v/>
      </c>
      <c r="AB59" s="1416" t="str">
        <f t="shared" si="15"/>
        <v/>
      </c>
      <c r="AC59" s="1417" t="str">
        <f t="shared" si="16"/>
        <v/>
      </c>
      <c r="AD59" s="1418" t="str">
        <f t="shared" si="17"/>
        <v/>
      </c>
      <c r="AE59" s="1414" t="str">
        <f>IF(I59="","",IF(ISNA(MATCH(I59,IF(pb_location_id=1,'[1]1_inventory_totals'!$C$8:$C$10000,IF(pb_location_id=2,'[1]2_inventory_totals'!$C$8:$C$10000,"")),0)),0,IF(AR59&gt;0,1,0)))</f>
        <v/>
      </c>
      <c r="AF59" s="1414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G59" s="1414" t="str">
        <f>IF(M59="","",IF(ISNA(MATCH(I59,'[1]1_group_totals'!$C$8:$C$10000)),0,IF(AS59&gt;0,1,0)))</f>
        <v/>
      </c>
      <c r="AH59" s="1414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I59" s="1414" t="str">
        <f>IF(M59="","",IF(AJ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J59" s="1414" t="str">
        <f>IF(M59="","",SUMIFS('1_group_totals'!$J$8:$J$10000,'[1]1_group_totals'!$C$8:$C$10000,I59,'1_group_totals'!$F$8:$F$10000,pb_location_group_id,'[1]1_group_totals'!$G$8:$G$10000,pb_location_id,'[1]1_group_totals'!$H$8:$H$10000,"="&amp;Q59,'[1]1_group_totals'!$I$8:$I$10000,"="&amp;R59))</f>
        <v/>
      </c>
      <c r="AK59" s="1414" t="str">
        <f t="shared" si="18"/>
        <v/>
      </c>
      <c r="AL59" s="1414" t="str">
        <f>IF(OR(ISNA(MATCH(MID(AK59,1,3)*1,UomConversion!$D$8:$D$500,0)),M59=""),"",IF(AP59="","",AP59))</f>
        <v/>
      </c>
      <c r="AM59" s="1414" t="str">
        <f>IF(AND(AN59&gt;0,COUNTIFS(UomConversion!$D$8:$D$500,MID(AK59,1,3)*1,UomConversion!$J$8:$J$500,1)&gt;1),TEXT(AN59,"000")&amp;"."&amp;VLOOKUP(AN59,uom_list,4,FALSE),"")</f>
        <v/>
      </c>
      <c r="AN59" s="1414" t="str">
        <f t="shared" si="19"/>
        <v/>
      </c>
      <c r="AO59" s="1414" t="str">
        <f t="shared" si="20"/>
        <v/>
      </c>
      <c r="AP59" s="126" t="str">
        <f t="shared" si="21"/>
        <v/>
      </c>
      <c r="AQ59" s="126" t="str" cm="1">
        <f t="array" ref="AQ59">IF(M59="","",IF(ISNA(Slookup(MID(AK59,1,3)*1,UomConversion!$D$8:$J$500,2,UomConversion!$I$8:$I$500,1,UomConversion!$J$8:$J$500,1)),"",Slookup(MID(AK59,1,3)*1,UomConversion!$D$8:$J$500,2,UomConversion!$I$8:$I$500,1,UomConversion!$J$8:$J$500,1)))</f>
        <v/>
      </c>
      <c r="AR59" s="13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S59" s="126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5" ht="27" customHeight="1">
      <c r="A60" s="765"/>
      <c r="B60" s="931"/>
      <c r="C60" s="984"/>
      <c r="D60" s="984"/>
      <c r="E60" s="984"/>
      <c r="F60" s="942"/>
      <c r="G60" s="213"/>
      <c r="H60" s="906"/>
      <c r="I60" s="426" t="str">
        <f t="shared" si="8"/>
        <v/>
      </c>
      <c r="J60" s="1412" t="str">
        <f t="shared" si="22"/>
        <v/>
      </c>
      <c r="K60" s="1320" t="str">
        <f t="shared" si="9"/>
        <v/>
      </c>
      <c r="L60" s="1321"/>
      <c r="M60" s="1413"/>
      <c r="N60" s="1322"/>
      <c r="O60" s="1322"/>
      <c r="P60" s="1413" t="str">
        <f t="shared" si="145"/>
        <v/>
      </c>
      <c r="Q60" s="1414"/>
      <c r="R60" s="1415"/>
      <c r="S60" s="1323" t="str">
        <f t="shared" ref="S60" si="176">IF(M60="","",pb_currency_symbol)</f>
        <v/>
      </c>
      <c r="T60" s="1422"/>
      <c r="U60" s="1324" t="str">
        <f t="shared" si="115"/>
        <v/>
      </c>
      <c r="V60" s="1323" t="str">
        <f t="shared" ref="V60" si="177">IF(W60=0,"",pb_currency_symbol)</f>
        <v/>
      </c>
      <c r="W60" s="1424"/>
      <c r="X60" s="1427" t="str">
        <f t="shared" ref="X60" si="178">IF(M60="","",pb_currency_symbol)</f>
        <v/>
      </c>
      <c r="Y60" s="1326" t="str">
        <f t="shared" si="13"/>
        <v/>
      </c>
      <c r="Z60" s="1426" t="str" cm="1">
        <f t="array" ref="Z60">IF(M60="","",IF(P60=AK60,1,Slookup(MID(AK60,1,3)*1,UomConversion!$D$8:$J$500,5,UomConversion!$E$8:$E$500,MID(P60,1,3)*1,UomConversion!$J$8:$J$500,1)))</f>
        <v/>
      </c>
      <c r="AA60" s="1414" t="str">
        <f t="shared" si="14"/>
        <v/>
      </c>
      <c r="AB60" s="1416" t="str">
        <f t="shared" si="15"/>
        <v/>
      </c>
      <c r="AC60" s="1417" t="str">
        <f t="shared" si="16"/>
        <v/>
      </c>
      <c r="AD60" s="1418" t="str">
        <f t="shared" si="17"/>
        <v/>
      </c>
      <c r="AE60" s="1414" t="str">
        <f>IF(I60="","",IF(ISNA(MATCH(I60,IF(pb_location_id=1,'[1]1_inventory_totals'!$C$8:$C$10000,IF(pb_location_id=2,'[1]2_inventory_totals'!$C$8:$C$10000,"")),0)),0,IF(AR60&gt;0,1,0)))</f>
        <v/>
      </c>
      <c r="AF60" s="1414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G60" s="1414" t="str">
        <f>IF(M60="","",IF(ISNA(MATCH(I60,'[1]1_group_totals'!$C$8:$C$10000)),0,IF(AS60&gt;0,1,0)))</f>
        <v/>
      </c>
      <c r="AH60" s="1414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I60" s="1414" t="str">
        <f>IF(M60="","",IF(AJ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J60" s="1414" t="str">
        <f>IF(M60="","",SUMIFS('1_group_totals'!$J$8:$J$10000,'[1]1_group_totals'!$C$8:$C$10000,I60,'1_group_totals'!$F$8:$F$10000,pb_location_group_id,'[1]1_group_totals'!$G$8:$G$10000,pb_location_id,'[1]1_group_totals'!$H$8:$H$10000,"="&amp;Q60,'[1]1_group_totals'!$I$8:$I$10000,"="&amp;R60))</f>
        <v/>
      </c>
      <c r="AK60" s="1414" t="str">
        <f t="shared" si="18"/>
        <v/>
      </c>
      <c r="AL60" s="1414" t="str">
        <f>IF(OR(ISNA(MATCH(MID(AK60,1,3)*1,UomConversion!$D$8:$D$500,0)),M60=""),"",IF(AP60="","",AP60))</f>
        <v/>
      </c>
      <c r="AM60" s="1414" t="str">
        <f>IF(AND(AN60&gt;0,COUNTIFS(UomConversion!$D$8:$D$500,MID(AK60,1,3)*1,UomConversion!$J$8:$J$500,1)&gt;1),TEXT(AN60,"000")&amp;"."&amp;VLOOKUP(AN60,uom_list,4,FALSE),"")</f>
        <v/>
      </c>
      <c r="AN60" s="1414" t="str">
        <f t="shared" si="19"/>
        <v/>
      </c>
      <c r="AO60" s="1414" t="str">
        <f t="shared" si="20"/>
        <v/>
      </c>
      <c r="AP60" s="126" t="str">
        <f t="shared" si="21"/>
        <v/>
      </c>
      <c r="AQ60" s="126" t="str" cm="1">
        <f t="array" ref="AQ60">IF(M60="","",IF(ISNA(Slookup(MID(AK60,1,3)*1,UomConversion!$D$8:$J$500,2,UomConversion!$I$8:$I$500,1,UomConversion!$J$8:$J$500,1)),"",Slookup(MID(AK60,1,3)*1,UomConversion!$D$8:$J$500,2,UomConversion!$I$8:$I$500,1,UomConversion!$J$8:$J$500,1)))</f>
        <v/>
      </c>
      <c r="AR60" s="13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S60" s="126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5" ht="27" customHeight="1">
      <c r="A61" s="765"/>
      <c r="B61" s="931"/>
      <c r="C61" s="984"/>
      <c r="D61" s="984"/>
      <c r="E61" s="984"/>
      <c r="F61" s="942"/>
      <c r="G61" s="213"/>
      <c r="H61" s="906"/>
      <c r="I61" s="426" t="str">
        <f t="shared" si="8"/>
        <v/>
      </c>
      <c r="J61" s="1412" t="str">
        <f t="shared" si="22"/>
        <v/>
      </c>
      <c r="K61" s="1320" t="str">
        <f t="shared" si="9"/>
        <v/>
      </c>
      <c r="L61" s="1321"/>
      <c r="M61" s="1413"/>
      <c r="N61" s="1322"/>
      <c r="O61" s="1322"/>
      <c r="P61" s="1413" t="str">
        <f t="shared" si="145"/>
        <v/>
      </c>
      <c r="Q61" s="1414"/>
      <c r="R61" s="1415"/>
      <c r="S61" s="1323" t="str">
        <f t="shared" ref="S61" si="179">IF(M61="","",pb_currency_symbol)</f>
        <v/>
      </c>
      <c r="T61" s="1422"/>
      <c r="U61" s="1324" t="str">
        <f t="shared" si="115"/>
        <v/>
      </c>
      <c r="V61" s="1323" t="str">
        <f t="shared" ref="V61" si="180">IF(W61=0,"",pb_currency_symbol)</f>
        <v/>
      </c>
      <c r="W61" s="1424"/>
      <c r="X61" s="1427" t="str">
        <f t="shared" ref="X61" si="181">IF(M61="","",pb_currency_symbol)</f>
        <v/>
      </c>
      <c r="Y61" s="1326" t="str">
        <f t="shared" si="13"/>
        <v/>
      </c>
      <c r="Z61" s="1426" t="str" cm="1">
        <f t="array" ref="Z61">IF(M61="","",IF(P61=AK61,1,Slookup(MID(AK61,1,3)*1,UomConversion!$D$8:$J$500,5,UomConversion!$E$8:$E$500,MID(P61,1,3)*1,UomConversion!$J$8:$J$500,1)))</f>
        <v/>
      </c>
      <c r="AA61" s="1414" t="str">
        <f t="shared" si="14"/>
        <v/>
      </c>
      <c r="AB61" s="1416" t="str">
        <f t="shared" si="15"/>
        <v/>
      </c>
      <c r="AC61" s="1417" t="str">
        <f t="shared" si="16"/>
        <v/>
      </c>
      <c r="AD61" s="1418" t="str">
        <f t="shared" si="17"/>
        <v/>
      </c>
      <c r="AE61" s="1414" t="str">
        <f>IF(I61="","",IF(ISNA(MATCH(I61,IF(pb_location_id=1,'[1]1_inventory_totals'!$C$8:$C$10000,IF(pb_location_id=2,'[1]2_inventory_totals'!$C$8:$C$10000,"")),0)),0,IF(AR61&gt;0,1,0)))</f>
        <v/>
      </c>
      <c r="AF61" s="1414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G61" s="1414" t="str">
        <f>IF(M61="","",IF(ISNA(MATCH(I61,'[1]1_group_totals'!$C$8:$C$10000)),0,IF(AS61&gt;0,1,0)))</f>
        <v/>
      </c>
      <c r="AH61" s="1414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I61" s="1414" t="str">
        <f>IF(M61="","",IF(AJ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J61" s="1414" t="str">
        <f>IF(M61="","",SUMIFS('1_group_totals'!$J$8:$J$10000,'[1]1_group_totals'!$C$8:$C$10000,I61,'1_group_totals'!$F$8:$F$10000,pb_location_group_id,'[1]1_group_totals'!$G$8:$G$10000,pb_location_id,'[1]1_group_totals'!$H$8:$H$10000,"="&amp;Q61,'[1]1_group_totals'!$I$8:$I$10000,"="&amp;R61))</f>
        <v/>
      </c>
      <c r="AK61" s="1414" t="str">
        <f t="shared" si="18"/>
        <v/>
      </c>
      <c r="AL61" s="1414" t="str">
        <f>IF(OR(ISNA(MATCH(MID(AK61,1,3)*1,UomConversion!$D$8:$D$500,0)),M61=""),"",IF(AP61="","",AP61))</f>
        <v/>
      </c>
      <c r="AM61" s="1414" t="str">
        <f>IF(AND(AN61&gt;0,COUNTIFS(UomConversion!$D$8:$D$500,MID(AK61,1,3)*1,UomConversion!$J$8:$J$500,1)&gt;1),TEXT(AN61,"000")&amp;"."&amp;VLOOKUP(AN61,uom_list,4,FALSE),"")</f>
        <v/>
      </c>
      <c r="AN61" s="1414" t="str">
        <f t="shared" si="19"/>
        <v/>
      </c>
      <c r="AO61" s="1414" t="str">
        <f t="shared" si="20"/>
        <v/>
      </c>
      <c r="AP61" s="126" t="str">
        <f t="shared" si="21"/>
        <v/>
      </c>
      <c r="AQ61" s="126" t="str" cm="1">
        <f t="array" ref="AQ61">IF(M61="","",IF(ISNA(Slookup(MID(AK61,1,3)*1,UomConversion!$D$8:$J$500,2,UomConversion!$I$8:$I$500,1,UomConversion!$J$8:$J$500,1)),"",Slookup(MID(AK61,1,3)*1,UomConversion!$D$8:$J$500,2,UomConversion!$I$8:$I$500,1,UomConversion!$J$8:$J$500,1)))</f>
        <v/>
      </c>
      <c r="AR61" s="13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S61" s="126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5" ht="27" customHeight="1">
      <c r="A62" s="765"/>
      <c r="B62" s="931"/>
      <c r="C62" s="984"/>
      <c r="D62" s="984"/>
      <c r="E62" s="984"/>
      <c r="F62" s="942"/>
      <c r="G62" s="213"/>
      <c r="H62" s="906"/>
      <c r="I62" s="426" t="str">
        <f t="shared" si="8"/>
        <v/>
      </c>
      <c r="J62" s="1412" t="str">
        <f t="shared" si="22"/>
        <v/>
      </c>
      <c r="K62" s="1320" t="str">
        <f t="shared" si="9"/>
        <v/>
      </c>
      <c r="L62" s="1321"/>
      <c r="M62" s="1413"/>
      <c r="N62" s="1322"/>
      <c r="O62" s="1322"/>
      <c r="P62" s="1413" t="str">
        <f t="shared" si="145"/>
        <v/>
      </c>
      <c r="Q62" s="1414"/>
      <c r="R62" s="1415"/>
      <c r="S62" s="1323" t="str">
        <f t="shared" ref="S62" si="182">IF(M62="","",pb_currency_symbol)</f>
        <v/>
      </c>
      <c r="T62" s="1422"/>
      <c r="U62" s="1324" t="str">
        <f t="shared" si="115"/>
        <v/>
      </c>
      <c r="V62" s="1323" t="str">
        <f t="shared" ref="V62" si="183">IF(W62=0,"",pb_currency_symbol)</f>
        <v/>
      </c>
      <c r="W62" s="1424"/>
      <c r="X62" s="1427" t="str">
        <f t="shared" ref="X62" si="184">IF(M62="","",pb_currency_symbol)</f>
        <v/>
      </c>
      <c r="Y62" s="1326" t="str">
        <f t="shared" si="13"/>
        <v/>
      </c>
      <c r="Z62" s="1426" t="str" cm="1">
        <f t="array" ref="Z62">IF(M62="","",IF(P62=AK62,1,Slookup(MID(AK62,1,3)*1,UomConversion!$D$8:$J$500,5,UomConversion!$E$8:$E$500,MID(P62,1,3)*1,UomConversion!$J$8:$J$500,1)))</f>
        <v/>
      </c>
      <c r="AA62" s="1414" t="str">
        <f t="shared" si="14"/>
        <v/>
      </c>
      <c r="AB62" s="1416" t="str">
        <f t="shared" si="15"/>
        <v/>
      </c>
      <c r="AC62" s="1417" t="str">
        <f t="shared" si="16"/>
        <v/>
      </c>
      <c r="AD62" s="1418" t="str">
        <f t="shared" si="17"/>
        <v/>
      </c>
      <c r="AE62" s="1414" t="str">
        <f>IF(I62="","",IF(ISNA(MATCH(I62,IF(pb_location_id=1,'[1]1_inventory_totals'!$C$8:$C$10000,IF(pb_location_id=2,'[1]2_inventory_totals'!$C$8:$C$10000,"")),0)),0,IF(AR62&gt;0,1,0)))</f>
        <v/>
      </c>
      <c r="AF62" s="1414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G62" s="1414" t="str">
        <f>IF(M62="","",IF(ISNA(MATCH(I62,'[1]1_group_totals'!$C$8:$C$10000)),0,IF(AS62&gt;0,1,0)))</f>
        <v/>
      </c>
      <c r="AH62" s="1414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I62" s="1414" t="str">
        <f>IF(M62="","",IF(AJ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J62" s="1414" t="str">
        <f>IF(M62="","",SUMIFS('1_group_totals'!$J$8:$J$10000,'[1]1_group_totals'!$C$8:$C$10000,I62,'1_group_totals'!$F$8:$F$10000,pb_location_group_id,'[1]1_group_totals'!$G$8:$G$10000,pb_location_id,'[1]1_group_totals'!$H$8:$H$10000,"="&amp;Q62,'[1]1_group_totals'!$I$8:$I$10000,"="&amp;R62))</f>
        <v/>
      </c>
      <c r="AK62" s="1414" t="str">
        <f t="shared" si="18"/>
        <v/>
      </c>
      <c r="AL62" s="1414" t="str">
        <f>IF(OR(ISNA(MATCH(MID(AK62,1,3)*1,UomConversion!$D$8:$D$500,0)),M62=""),"",IF(AP62="","",AP62))</f>
        <v/>
      </c>
      <c r="AM62" s="1414" t="str">
        <f>IF(AND(AN62&gt;0,COUNTIFS(UomConversion!$D$8:$D$500,MID(AK62,1,3)*1,UomConversion!$J$8:$J$500,1)&gt;1),TEXT(AN62,"000")&amp;"."&amp;VLOOKUP(AN62,uom_list,4,FALSE),"")</f>
        <v/>
      </c>
      <c r="AN62" s="1414" t="str">
        <f t="shared" si="19"/>
        <v/>
      </c>
      <c r="AO62" s="1414" t="str">
        <f t="shared" si="20"/>
        <v/>
      </c>
      <c r="AP62" s="126" t="str">
        <f t="shared" si="21"/>
        <v/>
      </c>
      <c r="AQ62" s="126" t="str" cm="1">
        <f t="array" ref="AQ62">IF(M62="","",IF(ISNA(Slookup(MID(AK62,1,3)*1,UomConversion!$D$8:$J$500,2,UomConversion!$I$8:$I$500,1,UomConversion!$J$8:$J$500,1)),"",Slookup(MID(AK62,1,3)*1,UomConversion!$D$8:$J$500,2,UomConversion!$I$8:$I$500,1,UomConversion!$J$8:$J$500,1)))</f>
        <v/>
      </c>
      <c r="AR62" s="13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S62" s="126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5" ht="27" customHeight="1">
      <c r="A63" s="765"/>
      <c r="B63" s="931"/>
      <c r="C63" s="984"/>
      <c r="D63" s="984"/>
      <c r="E63" s="984"/>
      <c r="F63" s="942"/>
      <c r="G63" s="213"/>
      <c r="H63" s="906"/>
      <c r="I63" s="426" t="str">
        <f t="shared" si="8"/>
        <v/>
      </c>
      <c r="J63" s="1412" t="str">
        <f t="shared" si="22"/>
        <v/>
      </c>
      <c r="K63" s="1320" t="str">
        <f t="shared" si="9"/>
        <v/>
      </c>
      <c r="L63" s="1321"/>
      <c r="M63" s="1413"/>
      <c r="N63" s="1322"/>
      <c r="O63" s="1322"/>
      <c r="P63" s="1413" t="str">
        <f t="shared" si="145"/>
        <v/>
      </c>
      <c r="Q63" s="1414"/>
      <c r="R63" s="1415"/>
      <c r="S63" s="1323" t="str">
        <f t="shared" ref="S63" si="185">IF(M63="","",pb_currency_symbol)</f>
        <v/>
      </c>
      <c r="T63" s="1422"/>
      <c r="U63" s="1324" t="str">
        <f t="shared" si="115"/>
        <v/>
      </c>
      <c r="V63" s="1323" t="str">
        <f t="shared" ref="V63" si="186">IF(W63=0,"",pb_currency_symbol)</f>
        <v/>
      </c>
      <c r="W63" s="1424"/>
      <c r="X63" s="1427" t="str">
        <f t="shared" ref="X63" si="187">IF(M63="","",pb_currency_symbol)</f>
        <v/>
      </c>
      <c r="Y63" s="1326" t="str">
        <f t="shared" si="13"/>
        <v/>
      </c>
      <c r="Z63" s="1426" t="str" cm="1">
        <f t="array" ref="Z63">IF(M63="","",IF(P63=AK63,1,Slookup(MID(AK63,1,3)*1,UomConversion!$D$8:$J$500,5,UomConversion!$E$8:$E$500,MID(P63,1,3)*1,UomConversion!$J$8:$J$500,1)))</f>
        <v/>
      </c>
      <c r="AA63" s="1414" t="str">
        <f t="shared" si="14"/>
        <v/>
      </c>
      <c r="AB63" s="1416" t="str">
        <f t="shared" si="15"/>
        <v/>
      </c>
      <c r="AC63" s="1417" t="str">
        <f t="shared" si="16"/>
        <v/>
      </c>
      <c r="AD63" s="1418" t="str">
        <f t="shared" si="17"/>
        <v/>
      </c>
      <c r="AE63" s="1414" t="str">
        <f>IF(I63="","",IF(ISNA(MATCH(I63,IF(pb_location_id=1,'[1]1_inventory_totals'!$C$8:$C$10000,IF(pb_location_id=2,'[1]2_inventory_totals'!$C$8:$C$10000,"")),0)),0,IF(AR63&gt;0,1,0)))</f>
        <v/>
      </c>
      <c r="AF63" s="1414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G63" s="1414" t="str">
        <f>IF(M63="","",IF(ISNA(MATCH(I63,'[1]1_group_totals'!$C$8:$C$10000)),0,IF(AS63&gt;0,1,0)))</f>
        <v/>
      </c>
      <c r="AH63" s="1414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I63" s="1414" t="str">
        <f>IF(M63="","",IF(AJ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J63" s="1414" t="str">
        <f>IF(M63="","",SUMIFS('1_group_totals'!$J$8:$J$10000,'[1]1_group_totals'!$C$8:$C$10000,I63,'1_group_totals'!$F$8:$F$10000,pb_location_group_id,'[1]1_group_totals'!$G$8:$G$10000,pb_location_id,'[1]1_group_totals'!$H$8:$H$10000,"="&amp;Q63,'[1]1_group_totals'!$I$8:$I$10000,"="&amp;R63))</f>
        <v/>
      </c>
      <c r="AK63" s="1414" t="str">
        <f t="shared" si="18"/>
        <v/>
      </c>
      <c r="AL63" s="1414" t="str">
        <f>IF(OR(ISNA(MATCH(MID(AK63,1,3)*1,UomConversion!$D$8:$D$500,0)),M63=""),"",IF(AP63="","",AP63))</f>
        <v/>
      </c>
      <c r="AM63" s="1414" t="str">
        <f>IF(AND(AN63&gt;0,COUNTIFS(UomConversion!$D$8:$D$500,MID(AK63,1,3)*1,UomConversion!$J$8:$J$500,1)&gt;1),TEXT(AN63,"000")&amp;"."&amp;VLOOKUP(AN63,uom_list,4,FALSE),"")</f>
        <v/>
      </c>
      <c r="AN63" s="1414" t="str">
        <f t="shared" si="19"/>
        <v/>
      </c>
      <c r="AO63" s="1414" t="str">
        <f t="shared" si="20"/>
        <v/>
      </c>
      <c r="AP63" s="126" t="str">
        <f t="shared" si="21"/>
        <v/>
      </c>
      <c r="AQ63" s="126" t="str" cm="1">
        <f t="array" ref="AQ63">IF(M63="","",IF(ISNA(Slookup(MID(AK63,1,3)*1,UomConversion!$D$8:$J$500,2,UomConversion!$I$8:$I$500,1,UomConversion!$J$8:$J$500,1)),"",Slookup(MID(AK63,1,3)*1,UomConversion!$D$8:$J$500,2,UomConversion!$I$8:$I$500,1,UomConversion!$J$8:$J$500,1)))</f>
        <v/>
      </c>
      <c r="AR63" s="13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S63" s="126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5" ht="27" customHeight="1">
      <c r="A64" s="765"/>
      <c r="B64" s="931"/>
      <c r="C64" s="984"/>
      <c r="D64" s="984"/>
      <c r="E64" s="984"/>
      <c r="F64" s="942"/>
      <c r="G64" s="213"/>
      <c r="H64" s="906"/>
      <c r="I64" s="426" t="str">
        <f t="shared" si="8"/>
        <v/>
      </c>
      <c r="J64" s="1412" t="str">
        <f t="shared" si="22"/>
        <v/>
      </c>
      <c r="K64" s="1320" t="str">
        <f t="shared" si="9"/>
        <v/>
      </c>
      <c r="L64" s="1321"/>
      <c r="M64" s="1413"/>
      <c r="N64" s="1322"/>
      <c r="O64" s="1322"/>
      <c r="P64" s="1413" t="str">
        <f t="shared" si="145"/>
        <v/>
      </c>
      <c r="Q64" s="1414"/>
      <c r="R64" s="1415"/>
      <c r="S64" s="1323" t="str">
        <f t="shared" ref="S64" si="188">IF(M64="","",pb_currency_symbol)</f>
        <v/>
      </c>
      <c r="T64" s="1422"/>
      <c r="U64" s="1324" t="str">
        <f t="shared" si="115"/>
        <v/>
      </c>
      <c r="V64" s="1323" t="str">
        <f t="shared" ref="V64" si="189">IF(W64=0,"",pb_currency_symbol)</f>
        <v/>
      </c>
      <c r="W64" s="1424"/>
      <c r="X64" s="1427" t="str">
        <f t="shared" ref="X64" si="190">IF(M64="","",pb_currency_symbol)</f>
        <v/>
      </c>
      <c r="Y64" s="1326" t="str">
        <f t="shared" si="13"/>
        <v/>
      </c>
      <c r="Z64" s="1426" t="str" cm="1">
        <f t="array" ref="Z64">IF(M64="","",IF(P64=AK64,1,Slookup(MID(AK64,1,3)*1,UomConversion!$D$8:$J$500,5,UomConversion!$E$8:$E$500,MID(P64,1,3)*1,UomConversion!$J$8:$J$500,1)))</f>
        <v/>
      </c>
      <c r="AA64" s="1414" t="str">
        <f t="shared" si="14"/>
        <v/>
      </c>
      <c r="AB64" s="1416" t="str">
        <f t="shared" si="15"/>
        <v/>
      </c>
      <c r="AC64" s="1417" t="str">
        <f t="shared" si="16"/>
        <v/>
      </c>
      <c r="AD64" s="1418" t="str">
        <f t="shared" si="17"/>
        <v/>
      </c>
      <c r="AE64" s="1414" t="str">
        <f>IF(I64="","",IF(ISNA(MATCH(I64,IF(pb_location_id=1,'[1]1_inventory_totals'!$C$8:$C$10000,IF(pb_location_id=2,'[1]2_inventory_totals'!$C$8:$C$10000,"")),0)),0,IF(AR64&gt;0,1,0)))</f>
        <v/>
      </c>
      <c r="AF64" s="1414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G64" s="1414" t="str">
        <f>IF(M64="","",IF(ISNA(MATCH(I64,'[1]1_group_totals'!$C$8:$C$10000)),0,IF(AS64&gt;0,1,0)))</f>
        <v/>
      </c>
      <c r="AH64" s="1414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I64" s="1414" t="str">
        <f>IF(M64="","",IF(AJ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J64" s="1414" t="str">
        <f>IF(M64="","",SUMIFS('1_group_totals'!$J$8:$J$10000,'[1]1_group_totals'!$C$8:$C$10000,I64,'1_group_totals'!$F$8:$F$10000,pb_location_group_id,'[1]1_group_totals'!$G$8:$G$10000,pb_location_id,'[1]1_group_totals'!$H$8:$H$10000,"="&amp;Q64,'[1]1_group_totals'!$I$8:$I$10000,"="&amp;R64))</f>
        <v/>
      </c>
      <c r="AK64" s="1414" t="str">
        <f t="shared" si="18"/>
        <v/>
      </c>
      <c r="AL64" s="1414" t="str">
        <f>IF(OR(ISNA(MATCH(MID(AK64,1,3)*1,UomConversion!$D$8:$D$500,0)),M64=""),"",IF(AP64="","",AP64))</f>
        <v/>
      </c>
      <c r="AM64" s="1414" t="str">
        <f>IF(AND(AN64&gt;0,COUNTIFS(UomConversion!$D$8:$D$500,MID(AK64,1,3)*1,UomConversion!$J$8:$J$500,1)&gt;1),TEXT(AN64,"000")&amp;"."&amp;VLOOKUP(AN64,uom_list,4,FALSE),"")</f>
        <v/>
      </c>
      <c r="AN64" s="1414" t="str">
        <f t="shared" si="19"/>
        <v/>
      </c>
      <c r="AO64" s="1414" t="str">
        <f t="shared" si="20"/>
        <v/>
      </c>
      <c r="AP64" s="126" t="str">
        <f t="shared" si="21"/>
        <v/>
      </c>
      <c r="AQ64" s="126" t="str" cm="1">
        <f t="array" ref="AQ64">IF(M64="","",IF(ISNA(Slookup(MID(AK64,1,3)*1,UomConversion!$D$8:$J$500,2,UomConversion!$I$8:$I$500,1,UomConversion!$J$8:$J$500,1)),"",Slookup(MID(AK64,1,3)*1,UomConversion!$D$8:$J$500,2,UomConversion!$I$8:$I$500,1,UomConversion!$J$8:$J$500,1)))</f>
        <v/>
      </c>
      <c r="AR64" s="13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S64" s="126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5" ht="27" customHeight="1">
      <c r="A65" s="765"/>
      <c r="B65" s="931"/>
      <c r="C65" s="984"/>
      <c r="D65" s="984"/>
      <c r="E65" s="984"/>
      <c r="F65" s="942"/>
      <c r="G65" s="213"/>
      <c r="H65" s="906"/>
      <c r="I65" s="426" t="str">
        <f t="shared" si="8"/>
        <v/>
      </c>
      <c r="J65" s="1412" t="str">
        <f t="shared" si="22"/>
        <v/>
      </c>
      <c r="K65" s="1320" t="str">
        <f t="shared" si="9"/>
        <v/>
      </c>
      <c r="L65" s="1321"/>
      <c r="M65" s="1413"/>
      <c r="N65" s="1322"/>
      <c r="O65" s="1322"/>
      <c r="P65" s="1413" t="str">
        <f t="shared" si="145"/>
        <v/>
      </c>
      <c r="Q65" s="1414"/>
      <c r="R65" s="1415"/>
      <c r="S65" s="1323" t="str">
        <f t="shared" ref="S65" si="191">IF(M65="","",pb_currency_symbol)</f>
        <v/>
      </c>
      <c r="T65" s="1422"/>
      <c r="U65" s="1324" t="str">
        <f t="shared" si="115"/>
        <v/>
      </c>
      <c r="V65" s="1323" t="str">
        <f t="shared" ref="V65" si="192">IF(W65=0,"",pb_currency_symbol)</f>
        <v/>
      </c>
      <c r="W65" s="1424"/>
      <c r="X65" s="1427" t="str">
        <f t="shared" ref="X65" si="193">IF(M65="","",pb_currency_symbol)</f>
        <v/>
      </c>
      <c r="Y65" s="1326" t="str">
        <f t="shared" si="13"/>
        <v/>
      </c>
      <c r="Z65" s="1426" t="str" cm="1">
        <f t="array" ref="Z65">IF(M65="","",IF(P65=AK65,1,Slookup(MID(AK65,1,3)*1,UomConversion!$D$8:$J$500,5,UomConversion!$E$8:$E$500,MID(P65,1,3)*1,UomConversion!$J$8:$J$500,1)))</f>
        <v/>
      </c>
      <c r="AA65" s="1414" t="str">
        <f t="shared" si="14"/>
        <v/>
      </c>
      <c r="AB65" s="1416" t="str">
        <f t="shared" si="15"/>
        <v/>
      </c>
      <c r="AC65" s="1417" t="str">
        <f t="shared" si="16"/>
        <v/>
      </c>
      <c r="AD65" s="1418" t="str">
        <f t="shared" si="17"/>
        <v/>
      </c>
      <c r="AE65" s="1414" t="str">
        <f>IF(I65="","",IF(ISNA(MATCH(I65,IF(pb_location_id=1,'[1]1_inventory_totals'!$C$8:$C$10000,IF(pb_location_id=2,'[1]2_inventory_totals'!$C$8:$C$10000,"")),0)),0,IF(AR65&gt;0,1,0)))</f>
        <v/>
      </c>
      <c r="AF65" s="1414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G65" s="1414" t="str">
        <f>IF(M65="","",IF(ISNA(MATCH(I65,'[1]1_group_totals'!$C$8:$C$10000)),0,IF(AS65&gt;0,1,0)))</f>
        <v/>
      </c>
      <c r="AH65" s="1414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I65" s="1414" t="str">
        <f>IF(M65="","",IF(AJ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J65" s="1414" t="str">
        <f>IF(M65="","",SUMIFS('1_group_totals'!$J$8:$J$10000,'[1]1_group_totals'!$C$8:$C$10000,I65,'1_group_totals'!$F$8:$F$10000,pb_location_group_id,'[1]1_group_totals'!$G$8:$G$10000,pb_location_id,'[1]1_group_totals'!$H$8:$H$10000,"="&amp;Q65,'[1]1_group_totals'!$I$8:$I$10000,"="&amp;R65))</f>
        <v/>
      </c>
      <c r="AK65" s="1414" t="str">
        <f t="shared" si="18"/>
        <v/>
      </c>
      <c r="AL65" s="1414" t="str">
        <f>IF(OR(ISNA(MATCH(MID(AK65,1,3)*1,UomConversion!$D$8:$D$500,0)),M65=""),"",IF(AP65="","",AP65))</f>
        <v/>
      </c>
      <c r="AM65" s="1414" t="str">
        <f>IF(AND(AN65&gt;0,COUNTIFS(UomConversion!$D$8:$D$500,MID(AK65,1,3)*1,UomConversion!$J$8:$J$500,1)&gt;1),TEXT(AN65,"000")&amp;"."&amp;VLOOKUP(AN65,uom_list,4,FALSE),"")</f>
        <v/>
      </c>
      <c r="AN65" s="1414" t="str">
        <f t="shared" si="19"/>
        <v/>
      </c>
      <c r="AO65" s="1414" t="str">
        <f t="shared" si="20"/>
        <v/>
      </c>
      <c r="AP65" s="126" t="str">
        <f t="shared" si="21"/>
        <v/>
      </c>
      <c r="AQ65" s="126" t="str" cm="1">
        <f t="array" ref="AQ65">IF(M65="","",IF(ISNA(Slookup(MID(AK65,1,3)*1,UomConversion!$D$8:$J$500,2,UomConversion!$I$8:$I$500,1,UomConversion!$J$8:$J$500,1)),"",Slookup(MID(AK65,1,3)*1,UomConversion!$D$8:$J$500,2,UomConversion!$I$8:$I$500,1,UomConversion!$J$8:$J$500,1)))</f>
        <v/>
      </c>
      <c r="AR65" s="13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S65" s="126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5" ht="27" customHeight="1">
      <c r="A66" s="765"/>
      <c r="B66" s="931"/>
      <c r="C66" s="984"/>
      <c r="D66" s="984"/>
      <c r="E66" s="984"/>
      <c r="F66" s="942"/>
      <c r="G66" s="213"/>
      <c r="H66" s="906"/>
      <c r="I66" s="426" t="str">
        <f t="shared" si="8"/>
        <v/>
      </c>
      <c r="J66" s="1412" t="str">
        <f t="shared" si="22"/>
        <v/>
      </c>
      <c r="K66" s="1320" t="str">
        <f t="shared" si="9"/>
        <v/>
      </c>
      <c r="L66" s="1321"/>
      <c r="M66" s="1413"/>
      <c r="N66" s="1322"/>
      <c r="O66" s="1322"/>
      <c r="P66" s="1413" t="str">
        <f t="shared" si="145"/>
        <v/>
      </c>
      <c r="Q66" s="1414"/>
      <c r="R66" s="1415"/>
      <c r="S66" s="1323" t="str">
        <f t="shared" ref="S66" si="194">IF(M66="","",pb_currency_symbol)</f>
        <v/>
      </c>
      <c r="T66" s="1422"/>
      <c r="U66" s="1324" t="str">
        <f t="shared" si="115"/>
        <v/>
      </c>
      <c r="V66" s="1323" t="str">
        <f t="shared" ref="V66" si="195">IF(W66=0,"",pb_currency_symbol)</f>
        <v/>
      </c>
      <c r="W66" s="1424"/>
      <c r="X66" s="1427" t="str">
        <f t="shared" ref="X66" si="196">IF(M66="","",pb_currency_symbol)</f>
        <v/>
      </c>
      <c r="Y66" s="1326" t="str">
        <f t="shared" si="13"/>
        <v/>
      </c>
      <c r="Z66" s="1426" t="str" cm="1">
        <f t="array" ref="Z66">IF(M66="","",IF(P66=AK66,1,Slookup(MID(AK66,1,3)*1,UomConversion!$D$8:$J$500,5,UomConversion!$E$8:$E$500,MID(P66,1,3)*1,UomConversion!$J$8:$J$500,1)))</f>
        <v/>
      </c>
      <c r="AA66" s="1414" t="str">
        <f t="shared" si="14"/>
        <v/>
      </c>
      <c r="AB66" s="1416" t="str">
        <f t="shared" si="15"/>
        <v/>
      </c>
      <c r="AC66" s="1417" t="str">
        <f t="shared" si="16"/>
        <v/>
      </c>
      <c r="AD66" s="1418" t="str">
        <f t="shared" si="17"/>
        <v/>
      </c>
      <c r="AE66" s="1414" t="str">
        <f>IF(I66="","",IF(ISNA(MATCH(I66,IF(pb_location_id=1,'[1]1_inventory_totals'!$C$8:$C$10000,IF(pb_location_id=2,'[1]2_inventory_totals'!$C$8:$C$10000,"")),0)),0,IF(AR66&gt;0,1,0)))</f>
        <v/>
      </c>
      <c r="AF66" s="1414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G66" s="1414" t="str">
        <f>IF(M66="","",IF(ISNA(MATCH(I66,'[1]1_group_totals'!$C$8:$C$10000)),0,IF(AS66&gt;0,1,0)))</f>
        <v/>
      </c>
      <c r="AH66" s="1414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I66" s="1414" t="str">
        <f>IF(M66="","",IF(AJ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J66" s="1414" t="str">
        <f>IF(M66="","",SUMIFS('1_group_totals'!$J$8:$J$10000,'[1]1_group_totals'!$C$8:$C$10000,I66,'1_group_totals'!$F$8:$F$10000,pb_location_group_id,'[1]1_group_totals'!$G$8:$G$10000,pb_location_id,'[1]1_group_totals'!$H$8:$H$10000,"="&amp;Q66,'[1]1_group_totals'!$I$8:$I$10000,"="&amp;R66))</f>
        <v/>
      </c>
      <c r="AK66" s="1414" t="str">
        <f t="shared" si="18"/>
        <v/>
      </c>
      <c r="AL66" s="1414" t="str">
        <f>IF(OR(ISNA(MATCH(MID(AK66,1,3)*1,UomConversion!$D$8:$D$500,0)),M66=""),"",IF(AP66="","",AP66))</f>
        <v/>
      </c>
      <c r="AM66" s="1414" t="str">
        <f>IF(AND(AN66&gt;0,COUNTIFS(UomConversion!$D$8:$D$500,MID(AK66,1,3)*1,UomConversion!$J$8:$J$500,1)&gt;1),TEXT(AN66,"000")&amp;"."&amp;VLOOKUP(AN66,uom_list,4,FALSE),"")</f>
        <v/>
      </c>
      <c r="AN66" s="1414" t="str">
        <f t="shared" si="19"/>
        <v/>
      </c>
      <c r="AO66" s="1414" t="str">
        <f t="shared" si="20"/>
        <v/>
      </c>
      <c r="AP66" s="126" t="str">
        <f t="shared" si="21"/>
        <v/>
      </c>
      <c r="AQ66" s="126" t="str" cm="1">
        <f t="array" ref="AQ66">IF(M66="","",IF(ISNA(Slookup(MID(AK66,1,3)*1,UomConversion!$D$8:$J$500,2,UomConversion!$I$8:$I$500,1,UomConversion!$J$8:$J$500,1)),"",Slookup(MID(AK66,1,3)*1,UomConversion!$D$8:$J$500,2,UomConversion!$I$8:$I$500,1,UomConversion!$J$8:$J$500,1)))</f>
        <v/>
      </c>
      <c r="AR66" s="13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S66" s="126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5" ht="27" customHeight="1">
      <c r="A67" s="765"/>
      <c r="B67" s="931"/>
      <c r="C67" s="984"/>
      <c r="D67" s="984"/>
      <c r="E67" s="984"/>
      <c r="F67" s="942"/>
      <c r="G67" s="213"/>
      <c r="H67" s="906"/>
      <c r="I67" s="426" t="str">
        <f t="shared" si="8"/>
        <v/>
      </c>
      <c r="J67" s="1412" t="str">
        <f t="shared" si="22"/>
        <v/>
      </c>
      <c r="K67" s="1320" t="str">
        <f t="shared" si="9"/>
        <v/>
      </c>
      <c r="L67" s="1321"/>
      <c r="M67" s="1413"/>
      <c r="N67" s="1322"/>
      <c r="O67" s="1322"/>
      <c r="P67" s="1413" t="str">
        <f t="shared" si="145"/>
        <v/>
      </c>
      <c r="Q67" s="1414"/>
      <c r="R67" s="1415"/>
      <c r="S67" s="1323" t="str">
        <f t="shared" ref="S67" si="197">IF(M67="","",pb_currency_symbol)</f>
        <v/>
      </c>
      <c r="T67" s="1422"/>
      <c r="U67" s="1324" t="str">
        <f t="shared" si="115"/>
        <v/>
      </c>
      <c r="V67" s="1323" t="str">
        <f t="shared" ref="V67" si="198">IF(W67=0,"",pb_currency_symbol)</f>
        <v/>
      </c>
      <c r="W67" s="1424"/>
      <c r="X67" s="1427" t="str">
        <f t="shared" ref="X67" si="199">IF(M67="","",pb_currency_symbol)</f>
        <v/>
      </c>
      <c r="Y67" s="1326" t="str">
        <f t="shared" si="13"/>
        <v/>
      </c>
      <c r="Z67" s="1426" t="str" cm="1">
        <f t="array" ref="Z67">IF(M67="","",IF(P67=AK67,1,Slookup(MID(AK67,1,3)*1,UomConversion!$D$8:$J$500,5,UomConversion!$E$8:$E$500,MID(P67,1,3)*1,UomConversion!$J$8:$J$500,1)))</f>
        <v/>
      </c>
      <c r="AA67" s="1414" t="str">
        <f t="shared" si="14"/>
        <v/>
      </c>
      <c r="AB67" s="1416" t="str">
        <f t="shared" si="15"/>
        <v/>
      </c>
      <c r="AC67" s="1417" t="str">
        <f t="shared" si="16"/>
        <v/>
      </c>
      <c r="AD67" s="1418" t="str">
        <f t="shared" si="17"/>
        <v/>
      </c>
      <c r="AE67" s="1414" t="str">
        <f>IF(I67="","",IF(ISNA(MATCH(I67,IF(pb_location_id=1,'[1]1_inventory_totals'!$C$8:$C$10000,IF(pb_location_id=2,'[1]2_inventory_totals'!$C$8:$C$10000,"")),0)),0,IF(AR67&gt;0,1,0)))</f>
        <v/>
      </c>
      <c r="AF67" s="1414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G67" s="1414" t="str">
        <f>IF(M67="","",IF(ISNA(MATCH(I67,'[1]1_group_totals'!$C$8:$C$10000)),0,IF(AS67&gt;0,1,0)))</f>
        <v/>
      </c>
      <c r="AH67" s="1414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I67" s="1414" t="str">
        <f>IF(M67="","",IF(AJ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J67" s="1414" t="str">
        <f>IF(M67="","",SUMIFS('1_group_totals'!$J$8:$J$10000,'[1]1_group_totals'!$C$8:$C$10000,I67,'1_group_totals'!$F$8:$F$10000,pb_location_group_id,'[1]1_group_totals'!$G$8:$G$10000,pb_location_id,'[1]1_group_totals'!$H$8:$H$10000,"="&amp;Q67,'[1]1_group_totals'!$I$8:$I$10000,"="&amp;R67))</f>
        <v/>
      </c>
      <c r="AK67" s="1414" t="str">
        <f t="shared" si="18"/>
        <v/>
      </c>
      <c r="AL67" s="1414" t="str">
        <f>IF(OR(ISNA(MATCH(MID(AK67,1,3)*1,UomConversion!$D$8:$D$500,0)),M67=""),"",IF(AP67="","",AP67))</f>
        <v/>
      </c>
      <c r="AM67" s="1414" t="str">
        <f>IF(AND(AN67&gt;0,COUNTIFS(UomConversion!$D$8:$D$500,MID(AK67,1,3)*1,UomConversion!$J$8:$J$500,1)&gt;1),TEXT(AN67,"000")&amp;"."&amp;VLOOKUP(AN67,uom_list,4,FALSE),"")</f>
        <v/>
      </c>
      <c r="AN67" s="1414" t="str">
        <f t="shared" si="19"/>
        <v/>
      </c>
      <c r="AO67" s="1414" t="str">
        <f t="shared" si="20"/>
        <v/>
      </c>
      <c r="AP67" s="126" t="str">
        <f t="shared" si="21"/>
        <v/>
      </c>
      <c r="AQ67" s="126" t="str" cm="1">
        <f t="array" ref="AQ67">IF(M67="","",IF(ISNA(Slookup(MID(AK67,1,3)*1,UomConversion!$D$8:$J$500,2,UomConversion!$I$8:$I$500,1,UomConversion!$J$8:$J$500,1)),"",Slookup(MID(AK67,1,3)*1,UomConversion!$D$8:$J$500,2,UomConversion!$I$8:$I$500,1,UomConversion!$J$8:$J$500,1)))</f>
        <v/>
      </c>
      <c r="AR67" s="13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S67" s="126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5" ht="27" customHeight="1">
      <c r="A68" s="765"/>
      <c r="B68" s="931"/>
      <c r="C68" s="984"/>
      <c r="D68" s="984"/>
      <c r="E68" s="984"/>
      <c r="F68" s="942"/>
      <c r="G68" s="213"/>
      <c r="H68" s="906"/>
      <c r="I68" s="426" t="str">
        <f t="shared" si="8"/>
        <v/>
      </c>
      <c r="J68" s="1412" t="str">
        <f t="shared" si="22"/>
        <v/>
      </c>
      <c r="K68" s="1320" t="str">
        <f t="shared" si="9"/>
        <v/>
      </c>
      <c r="L68" s="1321"/>
      <c r="M68" s="1413"/>
      <c r="N68" s="1322"/>
      <c r="O68" s="1322"/>
      <c r="P68" s="1413" t="str">
        <f t="shared" si="145"/>
        <v/>
      </c>
      <c r="Q68" s="1414"/>
      <c r="R68" s="1415"/>
      <c r="S68" s="1323" t="str">
        <f t="shared" ref="S68" si="200">IF(M68="","",pb_currency_symbol)</f>
        <v/>
      </c>
      <c r="T68" s="1422"/>
      <c r="U68" s="1324" t="str">
        <f t="shared" si="115"/>
        <v/>
      </c>
      <c r="V68" s="1323" t="str">
        <f t="shared" ref="V68" si="201">IF(W68=0,"",pb_currency_symbol)</f>
        <v/>
      </c>
      <c r="W68" s="1424"/>
      <c r="X68" s="1427" t="str">
        <f t="shared" ref="X68" si="202">IF(M68="","",pb_currency_symbol)</f>
        <v/>
      </c>
      <c r="Y68" s="1326" t="str">
        <f t="shared" si="13"/>
        <v/>
      </c>
      <c r="Z68" s="1426" t="str" cm="1">
        <f t="array" ref="Z68">IF(M68="","",IF(P68=AK68,1,Slookup(MID(AK68,1,3)*1,UomConversion!$D$8:$J$500,5,UomConversion!$E$8:$E$500,MID(P68,1,3)*1,UomConversion!$J$8:$J$500,1)))</f>
        <v/>
      </c>
      <c r="AA68" s="1414" t="str">
        <f t="shared" si="14"/>
        <v/>
      </c>
      <c r="AB68" s="1416" t="str">
        <f t="shared" si="15"/>
        <v/>
      </c>
      <c r="AC68" s="1417" t="str">
        <f t="shared" si="16"/>
        <v/>
      </c>
      <c r="AD68" s="1418" t="str">
        <f t="shared" si="17"/>
        <v/>
      </c>
      <c r="AE68" s="1414" t="str">
        <f>IF(I68="","",IF(ISNA(MATCH(I68,IF(pb_location_id=1,'[1]1_inventory_totals'!$C$8:$C$10000,IF(pb_location_id=2,'[1]2_inventory_totals'!$C$8:$C$10000,"")),0)),0,IF(AR68&gt;0,1,0)))</f>
        <v/>
      </c>
      <c r="AF68" s="1414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G68" s="1414" t="str">
        <f>IF(M68="","",IF(ISNA(MATCH(I68,'[1]1_group_totals'!$C$8:$C$10000)),0,IF(AS68&gt;0,1,0)))</f>
        <v/>
      </c>
      <c r="AH68" s="1414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I68" s="1414" t="str">
        <f>IF(M68="","",IF(AJ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J68" s="1414" t="str">
        <f>IF(M68="","",SUMIFS('1_group_totals'!$J$8:$J$10000,'[1]1_group_totals'!$C$8:$C$10000,I68,'1_group_totals'!$F$8:$F$10000,pb_location_group_id,'[1]1_group_totals'!$G$8:$G$10000,pb_location_id,'[1]1_group_totals'!$H$8:$H$10000,"="&amp;Q68,'[1]1_group_totals'!$I$8:$I$10000,"="&amp;R68))</f>
        <v/>
      </c>
      <c r="AK68" s="1414" t="str">
        <f t="shared" si="18"/>
        <v/>
      </c>
      <c r="AL68" s="1414" t="str">
        <f>IF(OR(ISNA(MATCH(MID(AK68,1,3)*1,UomConversion!$D$8:$D$500,0)),M68=""),"",IF(AP68="","",AP68))</f>
        <v/>
      </c>
      <c r="AM68" s="1414" t="str">
        <f>IF(AND(AN68&gt;0,COUNTIFS(UomConversion!$D$8:$D$500,MID(AK68,1,3)*1,UomConversion!$J$8:$J$500,1)&gt;1),TEXT(AN68,"000")&amp;"."&amp;VLOOKUP(AN68,uom_list,4,FALSE),"")</f>
        <v/>
      </c>
      <c r="AN68" s="1414" t="str">
        <f t="shared" si="19"/>
        <v/>
      </c>
      <c r="AO68" s="1414" t="str">
        <f t="shared" si="20"/>
        <v/>
      </c>
      <c r="AP68" s="126" t="str">
        <f t="shared" si="21"/>
        <v/>
      </c>
      <c r="AQ68" s="126" t="str" cm="1">
        <f t="array" ref="AQ68">IF(M68="","",IF(ISNA(Slookup(MID(AK68,1,3)*1,UomConversion!$D$8:$J$500,2,UomConversion!$I$8:$I$500,1,UomConversion!$J$8:$J$500,1)),"",Slookup(MID(AK68,1,3)*1,UomConversion!$D$8:$J$500,2,UomConversion!$I$8:$I$500,1,UomConversion!$J$8:$J$500,1)))</f>
        <v/>
      </c>
      <c r="AR68" s="13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S68" s="126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5" ht="27" customHeight="1">
      <c r="A69" s="765"/>
      <c r="B69" s="931"/>
      <c r="C69" s="984"/>
      <c r="D69" s="984"/>
      <c r="E69" s="984"/>
      <c r="F69" s="942"/>
      <c r="G69" s="213"/>
      <c r="H69" s="906"/>
      <c r="I69" s="426" t="str">
        <f t="shared" si="8"/>
        <v/>
      </c>
      <c r="J69" s="1412" t="str">
        <f t="shared" si="22"/>
        <v/>
      </c>
      <c r="K69" s="1320" t="str">
        <f t="shared" si="9"/>
        <v/>
      </c>
      <c r="L69" s="1321"/>
      <c r="M69" s="1413"/>
      <c r="N69" s="1322"/>
      <c r="O69" s="1322"/>
      <c r="P69" s="1413" t="str">
        <f t="shared" si="145"/>
        <v/>
      </c>
      <c r="Q69" s="1414"/>
      <c r="R69" s="1415"/>
      <c r="S69" s="1323" t="str">
        <f t="shared" ref="S69" si="203">IF(M69="","",pb_currency_symbol)</f>
        <v/>
      </c>
      <c r="T69" s="1422"/>
      <c r="U69" s="1324" t="str">
        <f t="shared" si="115"/>
        <v/>
      </c>
      <c r="V69" s="1323" t="str">
        <f t="shared" ref="V69" si="204">IF(W69=0,"",pb_currency_symbol)</f>
        <v/>
      </c>
      <c r="W69" s="1424"/>
      <c r="X69" s="1427" t="str">
        <f t="shared" ref="X69" si="205">IF(M69="","",pb_currency_symbol)</f>
        <v/>
      </c>
      <c r="Y69" s="1326" t="str">
        <f t="shared" si="13"/>
        <v/>
      </c>
      <c r="Z69" s="1426" t="str" cm="1">
        <f t="array" ref="Z69">IF(M69="","",IF(P69=AK69,1,Slookup(MID(AK69,1,3)*1,UomConversion!$D$8:$J$500,5,UomConversion!$E$8:$E$500,MID(P69,1,3)*1,UomConversion!$J$8:$J$500,1)))</f>
        <v/>
      </c>
      <c r="AA69" s="1414" t="str">
        <f t="shared" si="14"/>
        <v/>
      </c>
      <c r="AB69" s="1416" t="str">
        <f t="shared" si="15"/>
        <v/>
      </c>
      <c r="AC69" s="1417" t="str">
        <f t="shared" si="16"/>
        <v/>
      </c>
      <c r="AD69" s="1418" t="str">
        <f t="shared" si="17"/>
        <v/>
      </c>
      <c r="AE69" s="1414" t="str">
        <f>IF(I69="","",IF(ISNA(MATCH(I69,IF(pb_location_id=1,'[1]1_inventory_totals'!$C$8:$C$10000,IF(pb_location_id=2,'[1]2_inventory_totals'!$C$8:$C$10000,"")),0)),0,IF(AR69&gt;0,1,0)))</f>
        <v/>
      </c>
      <c r="AF69" s="1414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G69" s="1414" t="str">
        <f>IF(M69="","",IF(ISNA(MATCH(I69,'[1]1_group_totals'!$C$8:$C$10000)),0,IF(AS69&gt;0,1,0)))</f>
        <v/>
      </c>
      <c r="AH69" s="1414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I69" s="1414" t="str">
        <f>IF(M69="","",IF(AJ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J69" s="1414" t="str">
        <f>IF(M69="","",SUMIFS('1_group_totals'!$J$8:$J$10000,'[1]1_group_totals'!$C$8:$C$10000,I69,'1_group_totals'!$F$8:$F$10000,pb_location_group_id,'[1]1_group_totals'!$G$8:$G$10000,pb_location_id,'[1]1_group_totals'!$H$8:$H$10000,"="&amp;Q69,'[1]1_group_totals'!$I$8:$I$10000,"="&amp;R69))</f>
        <v/>
      </c>
      <c r="AK69" s="1414" t="str">
        <f t="shared" si="18"/>
        <v/>
      </c>
      <c r="AL69" s="1414" t="str">
        <f>IF(OR(ISNA(MATCH(MID(AK69,1,3)*1,UomConversion!$D$8:$D$500,0)),M69=""),"",IF(AP69="","",AP69))</f>
        <v/>
      </c>
      <c r="AM69" s="1414" t="str">
        <f>IF(AND(AN69&gt;0,COUNTIFS(UomConversion!$D$8:$D$500,MID(AK69,1,3)*1,UomConversion!$J$8:$J$500,1)&gt;1),TEXT(AN69,"000")&amp;"."&amp;VLOOKUP(AN69,uom_list,4,FALSE),"")</f>
        <v/>
      </c>
      <c r="AN69" s="1414" t="str">
        <f t="shared" si="19"/>
        <v/>
      </c>
      <c r="AO69" s="1414" t="str">
        <f t="shared" si="20"/>
        <v/>
      </c>
      <c r="AP69" s="126" t="str">
        <f t="shared" si="21"/>
        <v/>
      </c>
      <c r="AQ69" s="126" t="str" cm="1">
        <f t="array" ref="AQ69">IF(M69="","",IF(ISNA(Slookup(MID(AK69,1,3)*1,UomConversion!$D$8:$J$500,2,UomConversion!$I$8:$I$500,1,UomConversion!$J$8:$J$500,1)),"",Slookup(MID(AK69,1,3)*1,UomConversion!$D$8:$J$500,2,UomConversion!$I$8:$I$500,1,UomConversion!$J$8:$J$500,1)))</f>
        <v/>
      </c>
      <c r="AR69" s="13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S69" s="126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5" ht="27" customHeight="1">
      <c r="A70" s="765"/>
      <c r="B70" s="931"/>
      <c r="C70" s="984"/>
      <c r="D70" s="984"/>
      <c r="E70" s="984"/>
      <c r="F70" s="942"/>
      <c r="G70" s="213"/>
      <c r="H70" s="906"/>
      <c r="I70" s="426" t="str">
        <f t="shared" si="8"/>
        <v/>
      </c>
      <c r="J70" s="1412" t="str">
        <f t="shared" si="22"/>
        <v/>
      </c>
      <c r="K70" s="1320" t="str">
        <f t="shared" si="9"/>
        <v/>
      </c>
      <c r="L70" s="1321"/>
      <c r="M70" s="1413"/>
      <c r="N70" s="1322"/>
      <c r="O70" s="1322"/>
      <c r="P70" s="1413" t="str">
        <f t="shared" si="145"/>
        <v/>
      </c>
      <c r="Q70" s="1414"/>
      <c r="R70" s="1415"/>
      <c r="S70" s="1323" t="str">
        <f t="shared" ref="S70" si="206">IF(M70="","",pb_currency_symbol)</f>
        <v/>
      </c>
      <c r="T70" s="1422"/>
      <c r="U70" s="1324" t="str">
        <f t="shared" si="115"/>
        <v/>
      </c>
      <c r="V70" s="1323" t="str">
        <f t="shared" ref="V70" si="207">IF(W70=0,"",pb_currency_symbol)</f>
        <v/>
      </c>
      <c r="W70" s="1424"/>
      <c r="X70" s="1427" t="str">
        <f t="shared" ref="X70" si="208">IF(M70="","",pb_currency_symbol)</f>
        <v/>
      </c>
      <c r="Y70" s="1326" t="str">
        <f t="shared" si="13"/>
        <v/>
      </c>
      <c r="Z70" s="1426" t="str" cm="1">
        <f t="array" ref="Z70">IF(M70="","",IF(P70=AK70,1,Slookup(MID(AK70,1,3)*1,UomConversion!$D$8:$J$500,5,UomConversion!$E$8:$E$500,MID(P70,1,3)*1,UomConversion!$J$8:$J$500,1)))</f>
        <v/>
      </c>
      <c r="AA70" s="1414" t="str">
        <f t="shared" si="14"/>
        <v/>
      </c>
      <c r="AB70" s="1416" t="str">
        <f t="shared" si="15"/>
        <v/>
      </c>
      <c r="AC70" s="1417" t="str">
        <f t="shared" si="16"/>
        <v/>
      </c>
      <c r="AD70" s="1418" t="str">
        <f t="shared" si="17"/>
        <v/>
      </c>
      <c r="AE70" s="1414" t="str">
        <f>IF(I70="","",IF(ISNA(MATCH(I70,IF(pb_location_id=1,'[1]1_inventory_totals'!$C$8:$C$10000,IF(pb_location_id=2,'[1]2_inventory_totals'!$C$8:$C$10000,"")),0)),0,IF(AR70&gt;0,1,0)))</f>
        <v/>
      </c>
      <c r="AF70" s="1414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G70" s="1414" t="str">
        <f>IF(M70="","",IF(ISNA(MATCH(I70,'[1]1_group_totals'!$C$8:$C$10000)),0,IF(AS70&gt;0,1,0)))</f>
        <v/>
      </c>
      <c r="AH70" s="1414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I70" s="1414" t="str">
        <f>IF(M70="","",IF(AJ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J70" s="1414" t="str">
        <f>IF(M70="","",SUMIFS('1_group_totals'!$J$8:$J$10000,'[1]1_group_totals'!$C$8:$C$10000,I70,'1_group_totals'!$F$8:$F$10000,pb_location_group_id,'[1]1_group_totals'!$G$8:$G$10000,pb_location_id,'[1]1_group_totals'!$H$8:$H$10000,"="&amp;Q70,'[1]1_group_totals'!$I$8:$I$10000,"="&amp;R70))</f>
        <v/>
      </c>
      <c r="AK70" s="1414" t="str">
        <f t="shared" si="18"/>
        <v/>
      </c>
      <c r="AL70" s="1414" t="str">
        <f>IF(OR(ISNA(MATCH(MID(AK70,1,3)*1,UomConversion!$D$8:$D$500,0)),M70=""),"",IF(AP70="","",AP70))</f>
        <v/>
      </c>
      <c r="AM70" s="1414" t="str">
        <f>IF(AND(AN70&gt;0,COUNTIFS(UomConversion!$D$8:$D$500,MID(AK70,1,3)*1,UomConversion!$J$8:$J$500,1)&gt;1),TEXT(AN70,"000")&amp;"."&amp;VLOOKUP(AN70,uom_list,4,FALSE),"")</f>
        <v/>
      </c>
      <c r="AN70" s="1414" t="str">
        <f t="shared" si="19"/>
        <v/>
      </c>
      <c r="AO70" s="1414" t="str">
        <f t="shared" si="20"/>
        <v/>
      </c>
      <c r="AP70" s="126" t="str">
        <f t="shared" si="21"/>
        <v/>
      </c>
      <c r="AQ70" s="126" t="str" cm="1">
        <f t="array" ref="AQ70">IF(M70="","",IF(ISNA(Slookup(MID(AK70,1,3)*1,UomConversion!$D$8:$J$500,2,UomConversion!$I$8:$I$500,1,UomConversion!$J$8:$J$500,1)),"",Slookup(MID(AK70,1,3)*1,UomConversion!$D$8:$J$500,2,UomConversion!$I$8:$I$500,1,UomConversion!$J$8:$J$500,1)))</f>
        <v/>
      </c>
      <c r="AR70" s="13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S70" s="126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5" ht="27" customHeight="1">
      <c r="A71" s="765"/>
      <c r="B71" s="931"/>
      <c r="C71" s="984"/>
      <c r="D71" s="984"/>
      <c r="E71" s="984"/>
      <c r="F71" s="942"/>
      <c r="G71" s="213"/>
      <c r="H71" s="906"/>
      <c r="I71" s="426" t="str">
        <f t="shared" si="8"/>
        <v/>
      </c>
      <c r="J71" s="1412" t="str">
        <f t="shared" si="22"/>
        <v/>
      </c>
      <c r="K71" s="1320" t="str">
        <f t="shared" si="9"/>
        <v/>
      </c>
      <c r="L71" s="1321"/>
      <c r="M71" s="1413"/>
      <c r="N71" s="1322"/>
      <c r="O71" s="1322"/>
      <c r="P71" s="1413" t="str">
        <f t="shared" si="145"/>
        <v/>
      </c>
      <c r="Q71" s="1414"/>
      <c r="R71" s="1415"/>
      <c r="S71" s="1323" t="str">
        <f t="shared" ref="S71" si="209">IF(M71="","",pb_currency_symbol)</f>
        <v/>
      </c>
      <c r="T71" s="1422"/>
      <c r="U71" s="1324" t="str">
        <f t="shared" si="115"/>
        <v/>
      </c>
      <c r="V71" s="1323" t="str">
        <f t="shared" ref="V71" si="210">IF(W71=0,"",pb_currency_symbol)</f>
        <v/>
      </c>
      <c r="W71" s="1424"/>
      <c r="X71" s="1427" t="str">
        <f t="shared" ref="X71" si="211">IF(M71="","",pb_currency_symbol)</f>
        <v/>
      </c>
      <c r="Y71" s="1326" t="str">
        <f t="shared" si="13"/>
        <v/>
      </c>
      <c r="Z71" s="1426" t="str" cm="1">
        <f t="array" ref="Z71">IF(M71="","",IF(P71=AK71,1,Slookup(MID(AK71,1,3)*1,UomConversion!$D$8:$J$500,5,UomConversion!$E$8:$E$500,MID(P71,1,3)*1,UomConversion!$J$8:$J$500,1)))</f>
        <v/>
      </c>
      <c r="AA71" s="1414" t="str">
        <f t="shared" si="14"/>
        <v/>
      </c>
      <c r="AB71" s="1416" t="str">
        <f t="shared" si="15"/>
        <v/>
      </c>
      <c r="AC71" s="1417" t="str">
        <f t="shared" si="16"/>
        <v/>
      </c>
      <c r="AD71" s="1418" t="str">
        <f t="shared" si="17"/>
        <v/>
      </c>
      <c r="AE71" s="1414" t="str">
        <f>IF(I71="","",IF(ISNA(MATCH(I71,IF(pb_location_id=1,'[1]1_inventory_totals'!$C$8:$C$10000,IF(pb_location_id=2,'[1]2_inventory_totals'!$C$8:$C$10000,"")),0)),0,IF(AR71&gt;0,1,0)))</f>
        <v/>
      </c>
      <c r="AF71" s="1414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G71" s="1414" t="str">
        <f>IF(M71="","",IF(ISNA(MATCH(I71,'[1]1_group_totals'!$C$8:$C$10000)),0,IF(AS71&gt;0,1,0)))</f>
        <v/>
      </c>
      <c r="AH71" s="1414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I71" s="1414" t="str">
        <f>IF(M71="","",IF(AJ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J71" s="1414" t="str">
        <f>IF(M71="","",SUMIFS('1_group_totals'!$J$8:$J$10000,'[1]1_group_totals'!$C$8:$C$10000,I71,'1_group_totals'!$F$8:$F$10000,pb_location_group_id,'[1]1_group_totals'!$G$8:$G$10000,pb_location_id,'[1]1_group_totals'!$H$8:$H$10000,"="&amp;Q71,'[1]1_group_totals'!$I$8:$I$10000,"="&amp;R71))</f>
        <v/>
      </c>
      <c r="AK71" s="1414" t="str">
        <f t="shared" si="18"/>
        <v/>
      </c>
      <c r="AL71" s="1414" t="str">
        <f>IF(OR(ISNA(MATCH(MID(AK71,1,3)*1,UomConversion!$D$8:$D$500,0)),M71=""),"",IF(AP71="","",AP71))</f>
        <v/>
      </c>
      <c r="AM71" s="1414" t="str">
        <f>IF(AND(AN71&gt;0,COUNTIFS(UomConversion!$D$8:$D$500,MID(AK71,1,3)*1,UomConversion!$J$8:$J$500,1)&gt;1),TEXT(AN71,"000")&amp;"."&amp;VLOOKUP(AN71,uom_list,4,FALSE),"")</f>
        <v/>
      </c>
      <c r="AN71" s="1414" t="str">
        <f t="shared" si="19"/>
        <v/>
      </c>
      <c r="AO71" s="1414" t="str">
        <f t="shared" si="20"/>
        <v/>
      </c>
      <c r="AP71" s="126" t="str">
        <f t="shared" si="21"/>
        <v/>
      </c>
      <c r="AQ71" s="126" t="str" cm="1">
        <f t="array" ref="AQ71">IF(M71="","",IF(ISNA(Slookup(MID(AK71,1,3)*1,UomConversion!$D$8:$J$500,2,UomConversion!$I$8:$I$500,1,UomConversion!$J$8:$J$500,1)),"",Slookup(MID(AK71,1,3)*1,UomConversion!$D$8:$J$500,2,UomConversion!$I$8:$I$500,1,UomConversion!$J$8:$J$500,1)))</f>
        <v/>
      </c>
      <c r="AR71" s="13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S71" s="126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5" ht="27" customHeight="1">
      <c r="A72" s="765"/>
      <c r="B72" s="931"/>
      <c r="C72" s="984"/>
      <c r="D72" s="984"/>
      <c r="E72" s="984"/>
      <c r="F72" s="942"/>
      <c r="G72" s="213"/>
      <c r="H72" s="906"/>
      <c r="I72" s="426" t="str">
        <f t="shared" si="8"/>
        <v/>
      </c>
      <c r="J72" s="1412" t="str">
        <f t="shared" si="22"/>
        <v/>
      </c>
      <c r="K72" s="1320" t="str">
        <f t="shared" si="9"/>
        <v/>
      </c>
      <c r="L72" s="1321"/>
      <c r="M72" s="1413"/>
      <c r="N72" s="1322"/>
      <c r="O72" s="1322"/>
      <c r="P72" s="1413" t="str">
        <f t="shared" si="145"/>
        <v/>
      </c>
      <c r="Q72" s="1414"/>
      <c r="R72" s="1415"/>
      <c r="S72" s="1323" t="str">
        <f t="shared" ref="S72" si="212">IF(M72="","",pb_currency_symbol)</f>
        <v/>
      </c>
      <c r="T72" s="1422"/>
      <c r="U72" s="1324" t="str">
        <f t="shared" ref="U72:U87" si="213">IF(M72="","",IF(P72=AK72,AC72,IF(P72=AL72,ROUND(AC72/Z72,9),IF(P72=AM72,ROUND(AC72/AA72,9)))))</f>
        <v/>
      </c>
      <c r="V72" s="1323" t="str">
        <f t="shared" ref="V72" si="214">IF(W72=0,"",pb_currency_symbol)</f>
        <v/>
      </c>
      <c r="W72" s="1424"/>
      <c r="X72" s="1427" t="str">
        <f t="shared" ref="X72" si="215">IF(M72="","",pb_currency_symbol)</f>
        <v/>
      </c>
      <c r="Y72" s="1326" t="str">
        <f t="shared" si="13"/>
        <v/>
      </c>
      <c r="Z72" s="1426" t="str" cm="1">
        <f t="array" ref="Z72">IF(M72="","",IF(P72=AK72,1,Slookup(MID(AK72,1,3)*1,UomConversion!$D$8:$J$500,5,UomConversion!$E$8:$E$500,MID(P72,1,3)*1,UomConversion!$J$8:$J$500,1)))</f>
        <v/>
      </c>
      <c r="AA72" s="1414" t="str">
        <f t="shared" si="14"/>
        <v/>
      </c>
      <c r="AB72" s="1416" t="str">
        <f t="shared" si="15"/>
        <v/>
      </c>
      <c r="AC72" s="1417" t="str">
        <f t="shared" si="16"/>
        <v/>
      </c>
      <c r="AD72" s="1418" t="str">
        <f t="shared" si="17"/>
        <v/>
      </c>
      <c r="AE72" s="1414" t="str">
        <f>IF(I72="","",IF(ISNA(MATCH(I72,IF(pb_location_id=1,'[1]1_inventory_totals'!$C$8:$C$10000,IF(pb_location_id=2,'[1]2_inventory_totals'!$C$8:$C$10000,"")),0)),0,IF(AR72&gt;0,1,0)))</f>
        <v/>
      </c>
      <c r="AF72" s="1414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G72" s="1414" t="str">
        <f>IF(M72="","",IF(ISNA(MATCH(I72,'[1]1_group_totals'!$C$8:$C$10000)),0,IF(AS72&gt;0,1,0)))</f>
        <v/>
      </c>
      <c r="AH72" s="1414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I72" s="1414" t="str">
        <f>IF(M72="","",IF(AJ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J72" s="1414" t="str">
        <f>IF(M72="","",SUMIFS('1_group_totals'!$J$8:$J$10000,'[1]1_group_totals'!$C$8:$C$10000,I72,'1_group_totals'!$F$8:$F$10000,pb_location_group_id,'[1]1_group_totals'!$G$8:$G$10000,pb_location_id,'[1]1_group_totals'!$H$8:$H$10000,"="&amp;Q72,'[1]1_group_totals'!$I$8:$I$10000,"="&amp;R72))</f>
        <v/>
      </c>
      <c r="AK72" s="1414" t="str">
        <f t="shared" si="18"/>
        <v/>
      </c>
      <c r="AL72" s="1414" t="str">
        <f>IF(OR(ISNA(MATCH(MID(AK72,1,3)*1,UomConversion!$D$8:$D$500,0)),M72=""),"",IF(AP72="","",AP72))</f>
        <v/>
      </c>
      <c r="AM72" s="1414" t="str">
        <f>IF(AND(AN72&gt;0,COUNTIFS(UomConversion!$D$8:$D$500,MID(AK72,1,3)*1,UomConversion!$J$8:$J$500,1)&gt;1),TEXT(AN72,"000")&amp;"."&amp;VLOOKUP(AN72,uom_list,4,FALSE),"")</f>
        <v/>
      </c>
      <c r="AN72" s="1414" t="str">
        <f t="shared" si="19"/>
        <v/>
      </c>
      <c r="AO72" s="1414" t="str">
        <f t="shared" si="20"/>
        <v/>
      </c>
      <c r="AP72" s="126" t="str">
        <f t="shared" si="21"/>
        <v/>
      </c>
      <c r="AQ72" s="126" t="str" cm="1">
        <f t="array" ref="AQ72">IF(M72="","",IF(ISNA(Slookup(MID(AK72,1,3)*1,UomConversion!$D$8:$J$500,2,UomConversion!$I$8:$I$500,1,UomConversion!$J$8:$J$500,1)),"",Slookup(MID(AK72,1,3)*1,UomConversion!$D$8:$J$500,2,UomConversion!$I$8:$I$500,1,UomConversion!$J$8:$J$500,1)))</f>
        <v/>
      </c>
      <c r="AR72" s="13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S72" s="126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5" ht="27" customHeight="1">
      <c r="A73" s="765"/>
      <c r="B73" s="931"/>
      <c r="C73" s="984"/>
      <c r="D73" s="984"/>
      <c r="E73" s="984"/>
      <c r="F73" s="942"/>
      <c r="G73" s="213"/>
      <c r="H73" s="906"/>
      <c r="I73" s="426" t="str">
        <f t="shared" ref="I73:I87" si="216">IF(M73="","",MID(M73,1,5)*1)</f>
        <v/>
      </c>
      <c r="J73" s="1412" t="str">
        <f t="shared" si="22"/>
        <v/>
      </c>
      <c r="K73" s="1320" t="str">
        <f t="shared" ref="K73:K87" si="217">IF(M73="","",VLOOKUP(I73,product_list,2,FALSE))</f>
        <v/>
      </c>
      <c r="L73" s="1321"/>
      <c r="M73" s="1413"/>
      <c r="N73" s="1322"/>
      <c r="O73" s="1322"/>
      <c r="P73" s="1413" t="str">
        <f t="shared" si="145"/>
        <v/>
      </c>
      <c r="Q73" s="1414"/>
      <c r="R73" s="1415"/>
      <c r="S73" s="1323" t="str">
        <f t="shared" ref="S73" si="218">IF(M73="","",pb_currency_symbol)</f>
        <v/>
      </c>
      <c r="T73" s="1422"/>
      <c r="U73" s="1324" t="str">
        <f t="shared" si="213"/>
        <v/>
      </c>
      <c r="V73" s="1323" t="str">
        <f t="shared" ref="V73" si="219">IF(W73=0,"",pb_currency_symbol)</f>
        <v/>
      </c>
      <c r="W73" s="1424"/>
      <c r="X73" s="1427" t="str">
        <f t="shared" ref="X73" si="220">IF(M73="","",pb_currency_symbol)</f>
        <v/>
      </c>
      <c r="Y73" s="1326" t="str">
        <f t="shared" ref="Y73:Y87" si="221">IF(M73="","",IF(T73&gt;0,(N73)*T73-W73,(N73)*U73-W73))</f>
        <v/>
      </c>
      <c r="Z73" s="1426" t="str" cm="1">
        <f t="array" ref="Z73">IF(M73="","",IF(P73=AK73,1,Slookup(MID(AK73,1,3)*1,UomConversion!$D$8:$J$500,5,UomConversion!$E$8:$E$500,MID(P73,1,3)*1,UomConversion!$J$8:$J$500,1)))</f>
        <v/>
      </c>
      <c r="AA73" s="1414" t="str">
        <f t="shared" ref="AA73:AA87" si="222">IF(AND(M73="",ISNA(VLOOKUP(I73,product_list,19,FALSE))),"",VLOOKUP(I73,product_list,19,FALSE))</f>
        <v/>
      </c>
      <c r="AB73" s="1416" t="str">
        <f t="shared" ref="AB73:AB87" si="223">IF(M73="","",W73)</f>
        <v/>
      </c>
      <c r="AC73" s="1417" t="str">
        <f t="shared" ref="AC73:AC87" si="224">IF(M73="","",VLOOKUP(I73,product_list,12,FALSE))</f>
        <v/>
      </c>
      <c r="AD73" s="1418" t="str">
        <f t="shared" ref="AD73:AD87" si="225">IF(M73="","",VLOOKUP(I73,product_list,20,FALSE))</f>
        <v/>
      </c>
      <c r="AE73" s="1414" t="str">
        <f>IF(I73="","",IF(ISNA(MATCH(I73,IF(pb_location_id=1,'[1]1_inventory_totals'!$C$8:$C$10000,IF(pb_location_id=2,'[1]2_inventory_totals'!$C$8:$C$10000,"")),0)),0,IF(AR73&gt;0,1,0)))</f>
        <v/>
      </c>
      <c r="AF73" s="1414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G73" s="1414" t="str">
        <f>IF(M73="","",IF(ISNA(MATCH(I73,'[1]1_group_totals'!$C$8:$C$10000)),0,IF(AS73&gt;0,1,0)))</f>
        <v/>
      </c>
      <c r="AH73" s="1414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I73" s="1414" t="str">
        <f>IF(M73="","",IF(AJ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J73" s="1414" t="str">
        <f>IF(M73="","",SUMIFS('1_group_totals'!$J$8:$J$10000,'[1]1_group_totals'!$C$8:$C$10000,I73,'1_group_totals'!$F$8:$F$10000,pb_location_group_id,'[1]1_group_totals'!$G$8:$G$10000,pb_location_id,'[1]1_group_totals'!$H$8:$H$10000,"="&amp;Q73,'[1]1_group_totals'!$I$8:$I$10000,"="&amp;R73))</f>
        <v/>
      </c>
      <c r="AK73" s="1414" t="str">
        <f t="shared" ref="AK73:AK87" si="226">IF(M73="","",VLOOKUP(I73,product_list,11,FALSE))</f>
        <v/>
      </c>
      <c r="AL73" s="1414" t="str">
        <f>IF(OR(ISNA(MATCH(MID(AK73,1,3)*1,UomConversion!$D$8:$D$500,0)),M73=""),"",IF(AP73="","",AP73))</f>
        <v/>
      </c>
      <c r="AM73" s="1414" t="str">
        <f>IF(AND(AN73&gt;0,COUNTIFS(UomConversion!$D$8:$D$500,MID(AK73,1,3)*1,UomConversion!$J$8:$J$500,1)&gt;1),TEXT(AN73,"000")&amp;"."&amp;VLOOKUP(AN73,uom_list,4,FALSE),"")</f>
        <v/>
      </c>
      <c r="AN73" s="1414" t="str">
        <f t="shared" ref="AN73:AN87" si="227">IF(AND(AQ73&gt;0,M73&lt;&gt;""),AQ73,"")</f>
        <v/>
      </c>
      <c r="AO73" s="1414" t="str">
        <f t="shared" ref="AO73:AO87" si="228">IF(M73="","",IF(Z73&gt;0,AA73/Z73,""))</f>
        <v/>
      </c>
      <c r="AP73" s="126" t="str">
        <f t="shared" ref="AP73:AP87" si="229">IF(OR(ISNA(VLOOKUP(MID(AK73,1,3)*1,uom_converion_list,2,FALSE)),M73=""),"",TEXT(VLOOKUP(MID(AK73,1,3)*1,uom_converion_list,2,FALSE),"000")&amp;"."&amp;VLOOKUP(VLOOKUP(MID(AK73,1,3)*1,uom_converion_list,2,FALSE),uom_list,4,FALSE))</f>
        <v/>
      </c>
      <c r="AQ73" s="126" t="str" cm="1">
        <f t="array" ref="AQ73">IF(M73="","",IF(ISNA(Slookup(MID(AK73,1,3)*1,UomConversion!$D$8:$J$500,2,UomConversion!$I$8:$I$500,1,UomConversion!$J$8:$J$500,1)),"",Slookup(MID(AK73,1,3)*1,UomConversion!$D$8:$J$500,2,UomConversion!$I$8:$I$500,1,UomConversion!$J$8:$J$500,1)))</f>
        <v/>
      </c>
      <c r="AR73" s="13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S73" s="126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5" ht="27" customHeight="1">
      <c r="A74" s="765"/>
      <c r="B74" s="931"/>
      <c r="C74" s="984"/>
      <c r="D74" s="984"/>
      <c r="E74" s="984"/>
      <c r="F74" s="942"/>
      <c r="G74" s="213"/>
      <c r="H74" s="906"/>
      <c r="I74" s="426" t="str">
        <f t="shared" si="216"/>
        <v/>
      </c>
      <c r="J74" s="1412" t="str">
        <f t="shared" ref="J74:J87" si="230">IF(M74="","",J73+1)</f>
        <v/>
      </c>
      <c r="K74" s="1320" t="str">
        <f t="shared" si="217"/>
        <v/>
      </c>
      <c r="L74" s="1321"/>
      <c r="M74" s="1413"/>
      <c r="N74" s="1322"/>
      <c r="O74" s="1322"/>
      <c r="P74" s="1413" t="str">
        <f t="shared" si="145"/>
        <v/>
      </c>
      <c r="Q74" s="1414"/>
      <c r="R74" s="1415"/>
      <c r="S74" s="1323" t="str">
        <f t="shared" ref="S74" si="231">IF(M74="","",pb_currency_symbol)</f>
        <v/>
      </c>
      <c r="T74" s="1422"/>
      <c r="U74" s="1324" t="str">
        <f t="shared" si="213"/>
        <v/>
      </c>
      <c r="V74" s="1323" t="str">
        <f t="shared" ref="V74" si="232">IF(W74=0,"",pb_currency_symbol)</f>
        <v/>
      </c>
      <c r="W74" s="1424"/>
      <c r="X74" s="1427" t="str">
        <f t="shared" ref="X74" si="233">IF(M74="","",pb_currency_symbol)</f>
        <v/>
      </c>
      <c r="Y74" s="1326" t="str">
        <f t="shared" si="221"/>
        <v/>
      </c>
      <c r="Z74" s="1426" t="str" cm="1">
        <f t="array" ref="Z74">IF(M74="","",IF(P74=AK74,1,Slookup(MID(AK74,1,3)*1,UomConversion!$D$8:$J$500,5,UomConversion!$E$8:$E$500,MID(P74,1,3)*1,UomConversion!$J$8:$J$500,1)))</f>
        <v/>
      </c>
      <c r="AA74" s="1414" t="str">
        <f t="shared" si="222"/>
        <v/>
      </c>
      <c r="AB74" s="1416" t="str">
        <f t="shared" si="223"/>
        <v/>
      </c>
      <c r="AC74" s="1417" t="str">
        <f t="shared" si="224"/>
        <v/>
      </c>
      <c r="AD74" s="1418" t="str">
        <f t="shared" si="225"/>
        <v/>
      </c>
      <c r="AE74" s="1414" t="str">
        <f>IF(I74="","",IF(ISNA(MATCH(I74,IF(pb_location_id=1,'[1]1_inventory_totals'!$C$8:$C$10000,IF(pb_location_id=2,'[1]2_inventory_totals'!$C$8:$C$10000,"")),0)),0,IF(AR74&gt;0,1,0)))</f>
        <v/>
      </c>
      <c r="AF74" s="1414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G74" s="1414" t="str">
        <f>IF(M74="","",IF(ISNA(MATCH(I74,'[1]1_group_totals'!$C$8:$C$10000)),0,IF(AS74&gt;0,1,0)))</f>
        <v/>
      </c>
      <c r="AH74" s="1414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I74" s="1414" t="str">
        <f>IF(M74="","",IF(AJ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J74" s="1414" t="str">
        <f>IF(M74="","",SUMIFS('1_group_totals'!$J$8:$J$10000,'[1]1_group_totals'!$C$8:$C$10000,I74,'1_group_totals'!$F$8:$F$10000,pb_location_group_id,'[1]1_group_totals'!$G$8:$G$10000,pb_location_id,'[1]1_group_totals'!$H$8:$H$10000,"="&amp;Q74,'[1]1_group_totals'!$I$8:$I$10000,"="&amp;R74))</f>
        <v/>
      </c>
      <c r="AK74" s="1414" t="str">
        <f t="shared" si="226"/>
        <v/>
      </c>
      <c r="AL74" s="1414" t="str">
        <f>IF(OR(ISNA(MATCH(MID(AK74,1,3)*1,UomConversion!$D$8:$D$500,0)),M74=""),"",IF(AP74="","",AP74))</f>
        <v/>
      </c>
      <c r="AM74" s="1414" t="str">
        <f>IF(AND(AN74&gt;0,COUNTIFS(UomConversion!$D$8:$D$500,MID(AK74,1,3)*1,UomConversion!$J$8:$J$500,1)&gt;1),TEXT(AN74,"000")&amp;"."&amp;VLOOKUP(AN74,uom_list,4,FALSE),"")</f>
        <v/>
      </c>
      <c r="AN74" s="1414" t="str">
        <f t="shared" si="227"/>
        <v/>
      </c>
      <c r="AO74" s="1414" t="str">
        <f t="shared" si="228"/>
        <v/>
      </c>
      <c r="AP74" s="126" t="str">
        <f t="shared" si="229"/>
        <v/>
      </c>
      <c r="AQ74" s="126" t="str" cm="1">
        <f t="array" ref="AQ74">IF(M74="","",IF(ISNA(Slookup(MID(AK74,1,3)*1,UomConversion!$D$8:$J$500,2,UomConversion!$I$8:$I$500,1,UomConversion!$J$8:$J$500,1)),"",Slookup(MID(AK74,1,3)*1,UomConversion!$D$8:$J$500,2,UomConversion!$I$8:$I$500,1,UomConversion!$J$8:$J$500,1)))</f>
        <v/>
      </c>
      <c r="AR74" s="13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S74" s="126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5" ht="27" customHeight="1">
      <c r="A75" s="765"/>
      <c r="B75" s="931"/>
      <c r="C75" s="984"/>
      <c r="D75" s="984"/>
      <c r="E75" s="984"/>
      <c r="F75" s="942"/>
      <c r="G75" s="213"/>
      <c r="H75" s="906"/>
      <c r="I75" s="426" t="str">
        <f t="shared" si="216"/>
        <v/>
      </c>
      <c r="J75" s="1412" t="str">
        <f t="shared" si="230"/>
        <v/>
      </c>
      <c r="K75" s="1320" t="str">
        <f t="shared" si="217"/>
        <v/>
      </c>
      <c r="L75" s="1321"/>
      <c r="M75" s="1413"/>
      <c r="N75" s="1322"/>
      <c r="O75" s="1322"/>
      <c r="P75" s="1413" t="str">
        <f t="shared" si="145"/>
        <v/>
      </c>
      <c r="Q75" s="1414"/>
      <c r="R75" s="1415"/>
      <c r="S75" s="1323" t="str">
        <f t="shared" ref="S75" si="234">IF(M75="","",pb_currency_symbol)</f>
        <v/>
      </c>
      <c r="T75" s="1422"/>
      <c r="U75" s="1324" t="str">
        <f t="shared" si="213"/>
        <v/>
      </c>
      <c r="V75" s="1323" t="str">
        <f t="shared" ref="V75" si="235">IF(W75=0,"",pb_currency_symbol)</f>
        <v/>
      </c>
      <c r="W75" s="1424"/>
      <c r="X75" s="1427" t="str">
        <f t="shared" ref="X75" si="236">IF(M75="","",pb_currency_symbol)</f>
        <v/>
      </c>
      <c r="Y75" s="1326" t="str">
        <f t="shared" si="221"/>
        <v/>
      </c>
      <c r="Z75" s="1426" t="str" cm="1">
        <f t="array" ref="Z75">IF(M75="","",IF(P75=AK75,1,Slookup(MID(AK75,1,3)*1,UomConversion!$D$8:$J$500,5,UomConversion!$E$8:$E$500,MID(P75,1,3)*1,UomConversion!$J$8:$J$500,1)))</f>
        <v/>
      </c>
      <c r="AA75" s="1414" t="str">
        <f t="shared" si="222"/>
        <v/>
      </c>
      <c r="AB75" s="1416" t="str">
        <f t="shared" si="223"/>
        <v/>
      </c>
      <c r="AC75" s="1417" t="str">
        <f t="shared" si="224"/>
        <v/>
      </c>
      <c r="AD75" s="1418" t="str">
        <f t="shared" si="225"/>
        <v/>
      </c>
      <c r="AE75" s="1414" t="str">
        <f>IF(I75="","",IF(ISNA(MATCH(I75,IF(pb_location_id=1,'[1]1_inventory_totals'!$C$8:$C$10000,IF(pb_location_id=2,'[1]2_inventory_totals'!$C$8:$C$10000,"")),0)),0,IF(AR75&gt;0,1,0)))</f>
        <v/>
      </c>
      <c r="AF75" s="1414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G75" s="1414" t="str">
        <f>IF(M75="","",IF(ISNA(MATCH(I75,'[1]1_group_totals'!$C$8:$C$10000)),0,IF(AS75&gt;0,1,0)))</f>
        <v/>
      </c>
      <c r="AH75" s="1414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I75" s="1414" t="str">
        <f>IF(M75="","",IF(AJ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J75" s="1414" t="str">
        <f>IF(M75="","",SUMIFS('1_group_totals'!$J$8:$J$10000,'[1]1_group_totals'!$C$8:$C$10000,I75,'1_group_totals'!$F$8:$F$10000,pb_location_group_id,'[1]1_group_totals'!$G$8:$G$10000,pb_location_id,'[1]1_group_totals'!$H$8:$H$10000,"="&amp;Q75,'[1]1_group_totals'!$I$8:$I$10000,"="&amp;R75))</f>
        <v/>
      </c>
      <c r="AK75" s="1414" t="str">
        <f t="shared" si="226"/>
        <v/>
      </c>
      <c r="AL75" s="1414" t="str">
        <f>IF(OR(ISNA(MATCH(MID(AK75,1,3)*1,UomConversion!$D$8:$D$500,0)),M75=""),"",IF(AP75="","",AP75))</f>
        <v/>
      </c>
      <c r="AM75" s="1414" t="str">
        <f>IF(AND(AN75&gt;0,COUNTIFS(UomConversion!$D$8:$D$500,MID(AK75,1,3)*1,UomConversion!$J$8:$J$500,1)&gt;1),TEXT(AN75,"000")&amp;"."&amp;VLOOKUP(AN75,uom_list,4,FALSE),"")</f>
        <v/>
      </c>
      <c r="AN75" s="1414" t="str">
        <f t="shared" si="227"/>
        <v/>
      </c>
      <c r="AO75" s="1414" t="str">
        <f t="shared" si="228"/>
        <v/>
      </c>
      <c r="AP75" s="126" t="str">
        <f t="shared" si="229"/>
        <v/>
      </c>
      <c r="AQ75" s="126" t="str" cm="1">
        <f t="array" ref="AQ75">IF(M75="","",IF(ISNA(Slookup(MID(AK75,1,3)*1,UomConversion!$D$8:$J$500,2,UomConversion!$I$8:$I$500,1,UomConversion!$J$8:$J$500,1)),"",Slookup(MID(AK75,1,3)*1,UomConversion!$D$8:$J$500,2,UomConversion!$I$8:$I$500,1,UomConversion!$J$8:$J$500,1)))</f>
        <v/>
      </c>
      <c r="AR75" s="13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S75" s="126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5" ht="27" customHeight="1">
      <c r="A76" s="765"/>
      <c r="B76" s="931"/>
      <c r="C76" s="984"/>
      <c r="D76" s="984"/>
      <c r="E76" s="984"/>
      <c r="F76" s="942"/>
      <c r="G76" s="213"/>
      <c r="H76" s="906"/>
      <c r="I76" s="426" t="str">
        <f t="shared" si="216"/>
        <v/>
      </c>
      <c r="J76" s="1412" t="str">
        <f t="shared" si="230"/>
        <v/>
      </c>
      <c r="K76" s="1320" t="str">
        <f t="shared" si="217"/>
        <v/>
      </c>
      <c r="L76" s="1321"/>
      <c r="M76" s="1413"/>
      <c r="N76" s="1322"/>
      <c r="O76" s="1322"/>
      <c r="P76" s="1413" t="str">
        <f t="shared" si="145"/>
        <v/>
      </c>
      <c r="Q76" s="1414"/>
      <c r="R76" s="1415"/>
      <c r="S76" s="1323" t="str">
        <f t="shared" ref="S76" si="237">IF(M76="","",pb_currency_symbol)</f>
        <v/>
      </c>
      <c r="T76" s="1422"/>
      <c r="U76" s="1324" t="str">
        <f t="shared" si="213"/>
        <v/>
      </c>
      <c r="V76" s="1323" t="str">
        <f t="shared" ref="V76" si="238">IF(W76=0,"",pb_currency_symbol)</f>
        <v/>
      </c>
      <c r="W76" s="1424"/>
      <c r="X76" s="1427" t="str">
        <f t="shared" ref="X76" si="239">IF(M76="","",pb_currency_symbol)</f>
        <v/>
      </c>
      <c r="Y76" s="1326" t="str">
        <f t="shared" si="221"/>
        <v/>
      </c>
      <c r="Z76" s="1426" t="str" cm="1">
        <f t="array" ref="Z76">IF(M76="","",IF(P76=AK76,1,Slookup(MID(AK76,1,3)*1,UomConversion!$D$8:$J$500,5,UomConversion!$E$8:$E$500,MID(P76,1,3)*1,UomConversion!$J$8:$J$500,1)))</f>
        <v/>
      </c>
      <c r="AA76" s="1414" t="str">
        <f t="shared" si="222"/>
        <v/>
      </c>
      <c r="AB76" s="1416" t="str">
        <f t="shared" si="223"/>
        <v/>
      </c>
      <c r="AC76" s="1417" t="str">
        <f t="shared" si="224"/>
        <v/>
      </c>
      <c r="AD76" s="1418" t="str">
        <f t="shared" si="225"/>
        <v/>
      </c>
      <c r="AE76" s="1414" t="str">
        <f>IF(I76="","",IF(ISNA(MATCH(I76,IF(pb_location_id=1,'[1]1_inventory_totals'!$C$8:$C$10000,IF(pb_location_id=2,'[1]2_inventory_totals'!$C$8:$C$10000,"")),0)),0,IF(AR76&gt;0,1,0)))</f>
        <v/>
      </c>
      <c r="AF76" s="1414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G76" s="1414" t="str">
        <f>IF(M76="","",IF(ISNA(MATCH(I76,'[1]1_group_totals'!$C$8:$C$10000)),0,IF(AS76&gt;0,1,0)))</f>
        <v/>
      </c>
      <c r="AH76" s="1414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I76" s="1414" t="str">
        <f>IF(M76="","",IF(AJ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J76" s="1414" t="str">
        <f>IF(M76="","",SUMIFS('1_group_totals'!$J$8:$J$10000,'[1]1_group_totals'!$C$8:$C$10000,I76,'1_group_totals'!$F$8:$F$10000,pb_location_group_id,'[1]1_group_totals'!$G$8:$G$10000,pb_location_id,'[1]1_group_totals'!$H$8:$H$10000,"="&amp;Q76,'[1]1_group_totals'!$I$8:$I$10000,"="&amp;R76))</f>
        <v/>
      </c>
      <c r="AK76" s="1414" t="str">
        <f t="shared" si="226"/>
        <v/>
      </c>
      <c r="AL76" s="1414" t="str">
        <f>IF(OR(ISNA(MATCH(MID(AK76,1,3)*1,UomConversion!$D$8:$D$500,0)),M76=""),"",IF(AP76="","",AP76))</f>
        <v/>
      </c>
      <c r="AM76" s="1414" t="str">
        <f>IF(AND(AN76&gt;0,COUNTIFS(UomConversion!$D$8:$D$500,MID(AK76,1,3)*1,UomConversion!$J$8:$J$500,1)&gt;1),TEXT(AN76,"000")&amp;"."&amp;VLOOKUP(AN76,uom_list,4,FALSE),"")</f>
        <v/>
      </c>
      <c r="AN76" s="1414" t="str">
        <f t="shared" si="227"/>
        <v/>
      </c>
      <c r="AO76" s="1414" t="str">
        <f t="shared" si="228"/>
        <v/>
      </c>
      <c r="AP76" s="126" t="str">
        <f t="shared" si="229"/>
        <v/>
      </c>
      <c r="AQ76" s="126" t="str" cm="1">
        <f t="array" ref="AQ76">IF(M76="","",IF(ISNA(Slookup(MID(AK76,1,3)*1,UomConversion!$D$8:$J$500,2,UomConversion!$I$8:$I$500,1,UomConversion!$J$8:$J$500,1)),"",Slookup(MID(AK76,1,3)*1,UomConversion!$D$8:$J$500,2,UomConversion!$I$8:$I$500,1,UomConversion!$J$8:$J$500,1)))</f>
        <v/>
      </c>
      <c r="AR76" s="13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S76" s="126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5" ht="27" customHeight="1">
      <c r="A77" s="765"/>
      <c r="B77" s="931"/>
      <c r="C77" s="984"/>
      <c r="D77" s="984"/>
      <c r="E77" s="984"/>
      <c r="F77" s="942"/>
      <c r="G77" s="213"/>
      <c r="H77" s="906"/>
      <c r="I77" s="426" t="str">
        <f t="shared" si="216"/>
        <v/>
      </c>
      <c r="J77" s="1412" t="str">
        <f t="shared" si="230"/>
        <v/>
      </c>
      <c r="K77" s="1320" t="str">
        <f t="shared" si="217"/>
        <v/>
      </c>
      <c r="L77" s="1321"/>
      <c r="M77" s="1413"/>
      <c r="N77" s="1322"/>
      <c r="O77" s="1322"/>
      <c r="P77" s="1413" t="str">
        <f t="shared" si="145"/>
        <v/>
      </c>
      <c r="Q77" s="1414"/>
      <c r="R77" s="1415"/>
      <c r="S77" s="1323" t="str">
        <f t="shared" ref="S77" si="240">IF(M77="","",pb_currency_symbol)</f>
        <v/>
      </c>
      <c r="T77" s="1422"/>
      <c r="U77" s="1324" t="str">
        <f t="shared" si="213"/>
        <v/>
      </c>
      <c r="V77" s="1323" t="str">
        <f t="shared" ref="V77" si="241">IF(W77=0,"",pb_currency_symbol)</f>
        <v/>
      </c>
      <c r="W77" s="1424"/>
      <c r="X77" s="1427" t="str">
        <f t="shared" ref="X77" si="242">IF(M77="","",pb_currency_symbol)</f>
        <v/>
      </c>
      <c r="Y77" s="1326" t="str">
        <f t="shared" si="221"/>
        <v/>
      </c>
      <c r="Z77" s="1426" t="str" cm="1">
        <f t="array" ref="Z77">IF(M77="","",IF(P77=AK77,1,Slookup(MID(AK77,1,3)*1,UomConversion!$D$8:$J$500,5,UomConversion!$E$8:$E$500,MID(P77,1,3)*1,UomConversion!$J$8:$J$500,1)))</f>
        <v/>
      </c>
      <c r="AA77" s="1414" t="str">
        <f t="shared" si="222"/>
        <v/>
      </c>
      <c r="AB77" s="1416" t="str">
        <f t="shared" si="223"/>
        <v/>
      </c>
      <c r="AC77" s="1417" t="str">
        <f t="shared" si="224"/>
        <v/>
      </c>
      <c r="AD77" s="1418" t="str">
        <f t="shared" si="225"/>
        <v/>
      </c>
      <c r="AE77" s="1414" t="str">
        <f>IF(I77="","",IF(ISNA(MATCH(I77,IF(pb_location_id=1,'[1]1_inventory_totals'!$C$8:$C$10000,IF(pb_location_id=2,'[1]2_inventory_totals'!$C$8:$C$10000,"")),0)),0,IF(AR77&gt;0,1,0)))</f>
        <v/>
      </c>
      <c r="AF77" s="1414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G77" s="1414" t="str">
        <f>IF(M77="","",IF(ISNA(MATCH(I77,'[1]1_group_totals'!$C$8:$C$10000)),0,IF(AS77&gt;0,1,0)))</f>
        <v/>
      </c>
      <c r="AH77" s="1414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I77" s="1414" t="str">
        <f>IF(M77="","",IF(AJ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J77" s="1414" t="str">
        <f>IF(M77="","",SUMIFS('1_group_totals'!$J$8:$J$10000,'[1]1_group_totals'!$C$8:$C$10000,I77,'1_group_totals'!$F$8:$F$10000,pb_location_group_id,'[1]1_group_totals'!$G$8:$G$10000,pb_location_id,'[1]1_group_totals'!$H$8:$H$10000,"="&amp;Q77,'[1]1_group_totals'!$I$8:$I$10000,"="&amp;R77))</f>
        <v/>
      </c>
      <c r="AK77" s="1414" t="str">
        <f t="shared" si="226"/>
        <v/>
      </c>
      <c r="AL77" s="1414" t="str">
        <f>IF(OR(ISNA(MATCH(MID(AK77,1,3)*1,UomConversion!$D$8:$D$500,0)),M77=""),"",IF(AP77="","",AP77))</f>
        <v/>
      </c>
      <c r="AM77" s="1414" t="str">
        <f>IF(AND(AN77&gt;0,COUNTIFS(UomConversion!$D$8:$D$500,MID(AK77,1,3)*1,UomConversion!$J$8:$J$500,1)&gt;1),TEXT(AN77,"000")&amp;"."&amp;VLOOKUP(AN77,uom_list,4,FALSE),"")</f>
        <v/>
      </c>
      <c r="AN77" s="1414" t="str">
        <f t="shared" si="227"/>
        <v/>
      </c>
      <c r="AO77" s="1414" t="str">
        <f t="shared" si="228"/>
        <v/>
      </c>
      <c r="AP77" s="126" t="str">
        <f t="shared" si="229"/>
        <v/>
      </c>
      <c r="AQ77" s="126" t="str" cm="1">
        <f t="array" ref="AQ77">IF(M77="","",IF(ISNA(Slookup(MID(AK77,1,3)*1,UomConversion!$D$8:$J$500,2,UomConversion!$I$8:$I$500,1,UomConversion!$J$8:$J$500,1)),"",Slookup(MID(AK77,1,3)*1,UomConversion!$D$8:$J$500,2,UomConversion!$I$8:$I$500,1,UomConversion!$J$8:$J$500,1)))</f>
        <v/>
      </c>
      <c r="AR77" s="13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S77" s="126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5" ht="27" customHeight="1">
      <c r="A78" s="765"/>
      <c r="B78" s="931"/>
      <c r="C78" s="984"/>
      <c r="D78" s="984"/>
      <c r="E78" s="984"/>
      <c r="F78" s="942"/>
      <c r="G78" s="213"/>
      <c r="H78" s="906"/>
      <c r="I78" s="426" t="str">
        <f t="shared" si="216"/>
        <v/>
      </c>
      <c r="J78" s="1412" t="str">
        <f t="shared" si="230"/>
        <v/>
      </c>
      <c r="K78" s="1320" t="str">
        <f t="shared" si="217"/>
        <v/>
      </c>
      <c r="L78" s="1321"/>
      <c r="M78" s="1413"/>
      <c r="N78" s="1322"/>
      <c r="O78" s="1322"/>
      <c r="P78" s="1413" t="str">
        <f t="shared" si="145"/>
        <v/>
      </c>
      <c r="Q78" s="1414"/>
      <c r="R78" s="1415"/>
      <c r="S78" s="1323" t="str">
        <f t="shared" ref="S78" si="243">IF(M78="","",pb_currency_symbol)</f>
        <v/>
      </c>
      <c r="T78" s="1422"/>
      <c r="U78" s="1324" t="str">
        <f t="shared" si="213"/>
        <v/>
      </c>
      <c r="V78" s="1323" t="str">
        <f t="shared" ref="V78" si="244">IF(W78=0,"",pb_currency_symbol)</f>
        <v/>
      </c>
      <c r="W78" s="1424"/>
      <c r="X78" s="1427" t="str">
        <f t="shared" ref="X78" si="245">IF(M78="","",pb_currency_symbol)</f>
        <v/>
      </c>
      <c r="Y78" s="1326" t="str">
        <f t="shared" si="221"/>
        <v/>
      </c>
      <c r="Z78" s="1426" t="str" cm="1">
        <f t="array" ref="Z78">IF(M78="","",IF(P78=AK78,1,Slookup(MID(AK78,1,3)*1,UomConversion!$D$8:$J$500,5,UomConversion!$E$8:$E$500,MID(P78,1,3)*1,UomConversion!$J$8:$J$500,1)))</f>
        <v/>
      </c>
      <c r="AA78" s="1414" t="str">
        <f t="shared" si="222"/>
        <v/>
      </c>
      <c r="AB78" s="1416" t="str">
        <f t="shared" si="223"/>
        <v/>
      </c>
      <c r="AC78" s="1417" t="str">
        <f t="shared" si="224"/>
        <v/>
      </c>
      <c r="AD78" s="1418" t="str">
        <f t="shared" si="225"/>
        <v/>
      </c>
      <c r="AE78" s="1414" t="str">
        <f>IF(I78="","",IF(ISNA(MATCH(I78,IF(pb_location_id=1,'[1]1_inventory_totals'!$C$8:$C$10000,IF(pb_location_id=2,'[1]2_inventory_totals'!$C$8:$C$10000,"")),0)),0,IF(AR78&gt;0,1,0)))</f>
        <v/>
      </c>
      <c r="AF78" s="1414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G78" s="1414" t="str">
        <f>IF(M78="","",IF(ISNA(MATCH(I78,'[1]1_group_totals'!$C$8:$C$10000)),0,IF(AS78&gt;0,1,0)))</f>
        <v/>
      </c>
      <c r="AH78" s="1414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I78" s="1414" t="str">
        <f>IF(M78="","",IF(AJ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J78" s="1414" t="str">
        <f>IF(M78="","",SUMIFS('1_group_totals'!$J$8:$J$10000,'[1]1_group_totals'!$C$8:$C$10000,I78,'1_group_totals'!$F$8:$F$10000,pb_location_group_id,'[1]1_group_totals'!$G$8:$G$10000,pb_location_id,'[1]1_group_totals'!$H$8:$H$10000,"="&amp;Q78,'[1]1_group_totals'!$I$8:$I$10000,"="&amp;R78))</f>
        <v/>
      </c>
      <c r="AK78" s="1414" t="str">
        <f t="shared" si="226"/>
        <v/>
      </c>
      <c r="AL78" s="1414" t="str">
        <f>IF(OR(ISNA(MATCH(MID(AK78,1,3)*1,UomConversion!$D$8:$D$500,0)),M78=""),"",IF(AP78="","",AP78))</f>
        <v/>
      </c>
      <c r="AM78" s="1414" t="str">
        <f>IF(AND(AN78&gt;0,COUNTIFS(UomConversion!$D$8:$D$500,MID(AK78,1,3)*1,UomConversion!$J$8:$J$500,1)&gt;1),TEXT(AN78,"000")&amp;"."&amp;VLOOKUP(AN78,uom_list,4,FALSE),"")</f>
        <v/>
      </c>
      <c r="AN78" s="1414" t="str">
        <f t="shared" si="227"/>
        <v/>
      </c>
      <c r="AO78" s="1414" t="str">
        <f t="shared" si="228"/>
        <v/>
      </c>
      <c r="AP78" s="126" t="str">
        <f t="shared" si="229"/>
        <v/>
      </c>
      <c r="AQ78" s="126" t="str" cm="1">
        <f t="array" ref="AQ78">IF(M78="","",IF(ISNA(Slookup(MID(AK78,1,3)*1,UomConversion!$D$8:$J$500,2,UomConversion!$I$8:$I$500,1,UomConversion!$J$8:$J$500,1)),"",Slookup(MID(AK78,1,3)*1,UomConversion!$D$8:$J$500,2,UomConversion!$I$8:$I$500,1,UomConversion!$J$8:$J$500,1)))</f>
        <v/>
      </c>
      <c r="AR78" s="13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S78" s="126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5" ht="27" customHeight="1">
      <c r="A79" s="765"/>
      <c r="B79" s="931"/>
      <c r="C79" s="984"/>
      <c r="D79" s="984"/>
      <c r="E79" s="984"/>
      <c r="F79" s="942"/>
      <c r="G79" s="213"/>
      <c r="H79" s="906"/>
      <c r="I79" s="426" t="str">
        <f t="shared" si="216"/>
        <v/>
      </c>
      <c r="J79" s="1412" t="str">
        <f t="shared" si="230"/>
        <v/>
      </c>
      <c r="K79" s="1320" t="str">
        <f t="shared" si="217"/>
        <v/>
      </c>
      <c r="L79" s="1321"/>
      <c r="M79" s="1413"/>
      <c r="N79" s="1322"/>
      <c r="O79" s="1322"/>
      <c r="P79" s="1413" t="str">
        <f t="shared" si="145"/>
        <v/>
      </c>
      <c r="Q79" s="1414"/>
      <c r="R79" s="1415"/>
      <c r="S79" s="1323" t="str">
        <f t="shared" ref="S79" si="246">IF(M79="","",pb_currency_symbol)</f>
        <v/>
      </c>
      <c r="T79" s="1422"/>
      <c r="U79" s="1324" t="str">
        <f t="shared" si="213"/>
        <v/>
      </c>
      <c r="V79" s="1323" t="str">
        <f t="shared" ref="V79" si="247">IF(W79=0,"",pb_currency_symbol)</f>
        <v/>
      </c>
      <c r="W79" s="1424"/>
      <c r="X79" s="1427" t="str">
        <f t="shared" ref="X79" si="248">IF(M79="","",pb_currency_symbol)</f>
        <v/>
      </c>
      <c r="Y79" s="1326" t="str">
        <f t="shared" si="221"/>
        <v/>
      </c>
      <c r="Z79" s="1426" t="str" cm="1">
        <f t="array" ref="Z79">IF(M79="","",IF(P79=AK79,1,Slookup(MID(AK79,1,3)*1,UomConversion!$D$8:$J$500,5,UomConversion!$E$8:$E$500,MID(P79,1,3)*1,UomConversion!$J$8:$J$500,1)))</f>
        <v/>
      </c>
      <c r="AA79" s="1414" t="str">
        <f t="shared" si="222"/>
        <v/>
      </c>
      <c r="AB79" s="1416" t="str">
        <f t="shared" si="223"/>
        <v/>
      </c>
      <c r="AC79" s="1417" t="str">
        <f t="shared" si="224"/>
        <v/>
      </c>
      <c r="AD79" s="1418" t="str">
        <f t="shared" si="225"/>
        <v/>
      </c>
      <c r="AE79" s="1414" t="str">
        <f>IF(I79="","",IF(ISNA(MATCH(I79,IF(pb_location_id=1,'[1]1_inventory_totals'!$C$8:$C$10000,IF(pb_location_id=2,'[1]2_inventory_totals'!$C$8:$C$10000,"")),0)),0,IF(AR79&gt;0,1,0)))</f>
        <v/>
      </c>
      <c r="AF79" s="1414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G79" s="1414" t="str">
        <f>IF(M79="","",IF(ISNA(MATCH(I79,'[1]1_group_totals'!$C$8:$C$10000)),0,IF(AS79&gt;0,1,0)))</f>
        <v/>
      </c>
      <c r="AH79" s="1414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I79" s="1414" t="str">
        <f>IF(M79="","",IF(AJ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J79" s="1414" t="str">
        <f>IF(M79="","",SUMIFS('1_group_totals'!$J$8:$J$10000,'[1]1_group_totals'!$C$8:$C$10000,I79,'1_group_totals'!$F$8:$F$10000,pb_location_group_id,'[1]1_group_totals'!$G$8:$G$10000,pb_location_id,'[1]1_group_totals'!$H$8:$H$10000,"="&amp;Q79,'[1]1_group_totals'!$I$8:$I$10000,"="&amp;R79))</f>
        <v/>
      </c>
      <c r="AK79" s="1414" t="str">
        <f t="shared" si="226"/>
        <v/>
      </c>
      <c r="AL79" s="1414" t="str">
        <f>IF(OR(ISNA(MATCH(MID(AK79,1,3)*1,UomConversion!$D$8:$D$500,0)),M79=""),"",IF(AP79="","",AP79))</f>
        <v/>
      </c>
      <c r="AM79" s="1414" t="str">
        <f>IF(AND(AN79&gt;0,COUNTIFS(UomConversion!$D$8:$D$500,MID(AK79,1,3)*1,UomConversion!$J$8:$J$500,1)&gt;1),TEXT(AN79,"000")&amp;"."&amp;VLOOKUP(AN79,uom_list,4,FALSE),"")</f>
        <v/>
      </c>
      <c r="AN79" s="1414" t="str">
        <f t="shared" si="227"/>
        <v/>
      </c>
      <c r="AO79" s="1414" t="str">
        <f t="shared" si="228"/>
        <v/>
      </c>
      <c r="AP79" s="126" t="str">
        <f t="shared" si="229"/>
        <v/>
      </c>
      <c r="AQ79" s="126" t="str" cm="1">
        <f t="array" ref="AQ79">IF(M79="","",IF(ISNA(Slookup(MID(AK79,1,3)*1,UomConversion!$D$8:$J$500,2,UomConversion!$I$8:$I$500,1,UomConversion!$J$8:$J$500,1)),"",Slookup(MID(AK79,1,3)*1,UomConversion!$D$8:$J$500,2,UomConversion!$I$8:$I$500,1,UomConversion!$J$8:$J$500,1)))</f>
        <v/>
      </c>
      <c r="AR79" s="13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S79" s="126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5" ht="27" customHeight="1">
      <c r="A80" s="765"/>
      <c r="B80" s="931"/>
      <c r="C80" s="984"/>
      <c r="D80" s="984"/>
      <c r="E80" s="984"/>
      <c r="F80" s="942"/>
      <c r="G80" s="213"/>
      <c r="H80" s="906"/>
      <c r="I80" s="426" t="str">
        <f t="shared" si="216"/>
        <v/>
      </c>
      <c r="J80" s="1412" t="str">
        <f t="shared" si="230"/>
        <v/>
      </c>
      <c r="K80" s="1320" t="str">
        <f t="shared" si="217"/>
        <v/>
      </c>
      <c r="L80" s="1321"/>
      <c r="M80" s="1413"/>
      <c r="N80" s="1322"/>
      <c r="O80" s="1322"/>
      <c r="P80" s="1413" t="str">
        <f t="shared" si="145"/>
        <v/>
      </c>
      <c r="Q80" s="1414"/>
      <c r="R80" s="1415"/>
      <c r="S80" s="1323" t="str">
        <f t="shared" ref="S80" si="249">IF(M80="","",pb_currency_symbol)</f>
        <v/>
      </c>
      <c r="T80" s="1422"/>
      <c r="U80" s="1324" t="str">
        <f t="shared" si="213"/>
        <v/>
      </c>
      <c r="V80" s="1323" t="str">
        <f t="shared" ref="V80" si="250">IF(W80=0,"",pb_currency_symbol)</f>
        <v/>
      </c>
      <c r="W80" s="1424"/>
      <c r="X80" s="1427" t="str">
        <f t="shared" ref="X80" si="251">IF(M80="","",pb_currency_symbol)</f>
        <v/>
      </c>
      <c r="Y80" s="1326" t="str">
        <f t="shared" si="221"/>
        <v/>
      </c>
      <c r="Z80" s="1426" t="str" cm="1">
        <f t="array" ref="Z80">IF(M80="","",IF(P80=AK80,1,Slookup(MID(AK80,1,3)*1,UomConversion!$D$8:$J$500,5,UomConversion!$E$8:$E$500,MID(P80,1,3)*1,UomConversion!$J$8:$J$500,1)))</f>
        <v/>
      </c>
      <c r="AA80" s="1414" t="str">
        <f t="shared" si="222"/>
        <v/>
      </c>
      <c r="AB80" s="1416" t="str">
        <f t="shared" si="223"/>
        <v/>
      </c>
      <c r="AC80" s="1417" t="str">
        <f t="shared" si="224"/>
        <v/>
      </c>
      <c r="AD80" s="1418" t="str">
        <f t="shared" si="225"/>
        <v/>
      </c>
      <c r="AE80" s="1414" t="str">
        <f>IF(I80="","",IF(ISNA(MATCH(I80,IF(pb_location_id=1,'[1]1_inventory_totals'!$C$8:$C$10000,IF(pb_location_id=2,'[1]2_inventory_totals'!$C$8:$C$10000,"")),0)),0,IF(AR80&gt;0,1,0)))</f>
        <v/>
      </c>
      <c r="AF80" s="1414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G80" s="1414" t="str">
        <f>IF(M80="","",IF(ISNA(MATCH(I80,'[1]1_group_totals'!$C$8:$C$10000)),0,IF(AS80&gt;0,1,0)))</f>
        <v/>
      </c>
      <c r="AH80" s="1414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I80" s="1414" t="str">
        <f>IF(M80="","",IF(AJ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J80" s="1414" t="str">
        <f>IF(M80="","",SUMIFS('1_group_totals'!$J$8:$J$10000,'[1]1_group_totals'!$C$8:$C$10000,I80,'1_group_totals'!$F$8:$F$10000,pb_location_group_id,'[1]1_group_totals'!$G$8:$G$10000,pb_location_id,'[1]1_group_totals'!$H$8:$H$10000,"="&amp;Q80,'[1]1_group_totals'!$I$8:$I$10000,"="&amp;R80))</f>
        <v/>
      </c>
      <c r="AK80" s="1414" t="str">
        <f t="shared" si="226"/>
        <v/>
      </c>
      <c r="AL80" s="1414" t="str">
        <f>IF(OR(ISNA(MATCH(MID(AK80,1,3)*1,UomConversion!$D$8:$D$500,0)),M80=""),"",IF(AP80="","",AP80))</f>
        <v/>
      </c>
      <c r="AM80" s="1414" t="str">
        <f>IF(AND(AN80&gt;0,COUNTIFS(UomConversion!$D$8:$D$500,MID(AK80,1,3)*1,UomConversion!$J$8:$J$500,1)&gt;1),TEXT(AN80,"000")&amp;"."&amp;VLOOKUP(AN80,uom_list,4,FALSE),"")</f>
        <v/>
      </c>
      <c r="AN80" s="1414" t="str">
        <f t="shared" si="227"/>
        <v/>
      </c>
      <c r="AO80" s="1414" t="str">
        <f t="shared" si="228"/>
        <v/>
      </c>
      <c r="AP80" s="126" t="str">
        <f t="shared" si="229"/>
        <v/>
      </c>
      <c r="AQ80" s="126" t="str" cm="1">
        <f t="array" ref="AQ80">IF(M80="","",IF(ISNA(Slookup(MID(AK80,1,3)*1,UomConversion!$D$8:$J$500,2,UomConversion!$I$8:$I$500,1,UomConversion!$J$8:$J$500,1)),"",Slookup(MID(AK80,1,3)*1,UomConversion!$D$8:$J$500,2,UomConversion!$I$8:$I$500,1,UomConversion!$J$8:$J$500,1)))</f>
        <v/>
      </c>
      <c r="AR80" s="13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S80" s="126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5" ht="27" customHeight="1">
      <c r="A81" s="765"/>
      <c r="B81" s="931"/>
      <c r="C81" s="984"/>
      <c r="D81" s="984"/>
      <c r="E81" s="984"/>
      <c r="F81" s="942"/>
      <c r="G81" s="213"/>
      <c r="H81" s="906"/>
      <c r="I81" s="426" t="str">
        <f t="shared" si="216"/>
        <v/>
      </c>
      <c r="J81" s="1412" t="str">
        <f t="shared" si="230"/>
        <v/>
      </c>
      <c r="K81" s="1320" t="str">
        <f t="shared" si="217"/>
        <v/>
      </c>
      <c r="L81" s="1321"/>
      <c r="M81" s="1413"/>
      <c r="N81" s="1322"/>
      <c r="O81" s="1322"/>
      <c r="P81" s="1413" t="str">
        <f t="shared" si="145"/>
        <v/>
      </c>
      <c r="Q81" s="1414"/>
      <c r="R81" s="1415"/>
      <c r="S81" s="1323" t="str">
        <f t="shared" ref="S81" si="252">IF(M81="","",pb_currency_symbol)</f>
        <v/>
      </c>
      <c r="T81" s="1422"/>
      <c r="U81" s="1324" t="str">
        <f t="shared" si="213"/>
        <v/>
      </c>
      <c r="V81" s="1323" t="str">
        <f t="shared" ref="V81" si="253">IF(W81=0,"",pb_currency_symbol)</f>
        <v/>
      </c>
      <c r="W81" s="1424"/>
      <c r="X81" s="1427" t="str">
        <f t="shared" ref="X81" si="254">IF(M81="","",pb_currency_symbol)</f>
        <v/>
      </c>
      <c r="Y81" s="1326" t="str">
        <f t="shared" si="221"/>
        <v/>
      </c>
      <c r="Z81" s="1426" t="str" cm="1">
        <f t="array" ref="Z81">IF(M81="","",IF(P81=AK81,1,Slookup(MID(AK81,1,3)*1,UomConversion!$D$8:$J$500,5,UomConversion!$E$8:$E$500,MID(P81,1,3)*1,UomConversion!$J$8:$J$500,1)))</f>
        <v/>
      </c>
      <c r="AA81" s="1414" t="str">
        <f t="shared" si="222"/>
        <v/>
      </c>
      <c r="AB81" s="1416" t="str">
        <f t="shared" si="223"/>
        <v/>
      </c>
      <c r="AC81" s="1417" t="str">
        <f t="shared" si="224"/>
        <v/>
      </c>
      <c r="AD81" s="1418" t="str">
        <f t="shared" si="225"/>
        <v/>
      </c>
      <c r="AE81" s="1414" t="str">
        <f>IF(I81="","",IF(ISNA(MATCH(I81,IF(pb_location_id=1,'[1]1_inventory_totals'!$C$8:$C$10000,IF(pb_location_id=2,'[1]2_inventory_totals'!$C$8:$C$10000,"")),0)),0,IF(AR81&gt;0,1,0)))</f>
        <v/>
      </c>
      <c r="AF81" s="1414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G81" s="1414" t="str">
        <f>IF(M81="","",IF(ISNA(MATCH(I81,'[1]1_group_totals'!$C$8:$C$10000)),0,IF(AS81&gt;0,1,0)))</f>
        <v/>
      </c>
      <c r="AH81" s="1414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I81" s="1414" t="str">
        <f>IF(M81="","",IF(AJ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J81" s="1414" t="str">
        <f>IF(M81="","",SUMIFS('1_group_totals'!$J$8:$J$10000,'[1]1_group_totals'!$C$8:$C$10000,I81,'1_group_totals'!$F$8:$F$10000,pb_location_group_id,'[1]1_group_totals'!$G$8:$G$10000,pb_location_id,'[1]1_group_totals'!$H$8:$H$10000,"="&amp;Q81,'[1]1_group_totals'!$I$8:$I$10000,"="&amp;R81))</f>
        <v/>
      </c>
      <c r="AK81" s="1414" t="str">
        <f t="shared" si="226"/>
        <v/>
      </c>
      <c r="AL81" s="1414" t="str">
        <f>IF(OR(ISNA(MATCH(MID(AK81,1,3)*1,UomConversion!$D$8:$D$500,0)),M81=""),"",IF(AP81="","",AP81))</f>
        <v/>
      </c>
      <c r="AM81" s="1414" t="str">
        <f>IF(AND(AN81&gt;0,COUNTIFS(UomConversion!$D$8:$D$500,MID(AK81,1,3)*1,UomConversion!$J$8:$J$500,1)&gt;1),TEXT(AN81,"000")&amp;"."&amp;VLOOKUP(AN81,uom_list,4,FALSE),"")</f>
        <v/>
      </c>
      <c r="AN81" s="1414" t="str">
        <f t="shared" si="227"/>
        <v/>
      </c>
      <c r="AO81" s="1414" t="str">
        <f t="shared" si="228"/>
        <v/>
      </c>
      <c r="AP81" s="126" t="str">
        <f t="shared" si="229"/>
        <v/>
      </c>
      <c r="AQ81" s="126" t="str" cm="1">
        <f t="array" ref="AQ81">IF(M81="","",IF(ISNA(Slookup(MID(AK81,1,3)*1,UomConversion!$D$8:$J$500,2,UomConversion!$I$8:$I$500,1,UomConversion!$J$8:$J$500,1)),"",Slookup(MID(AK81,1,3)*1,UomConversion!$D$8:$J$500,2,UomConversion!$I$8:$I$500,1,UomConversion!$J$8:$J$500,1)))</f>
        <v/>
      </c>
      <c r="AR81" s="13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S81" s="126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5" ht="27" customHeight="1">
      <c r="A82" s="765"/>
      <c r="B82" s="931"/>
      <c r="C82" s="984"/>
      <c r="D82" s="984"/>
      <c r="E82" s="984"/>
      <c r="F82" s="942"/>
      <c r="G82" s="213"/>
      <c r="H82" s="906"/>
      <c r="I82" s="426" t="str">
        <f t="shared" si="216"/>
        <v/>
      </c>
      <c r="J82" s="1412" t="str">
        <f t="shared" si="230"/>
        <v/>
      </c>
      <c r="K82" s="1320" t="str">
        <f t="shared" si="217"/>
        <v/>
      </c>
      <c r="L82" s="1321"/>
      <c r="M82" s="1413"/>
      <c r="N82" s="1322"/>
      <c r="O82" s="1322"/>
      <c r="P82" s="1413" t="str">
        <f t="shared" ref="P82:P87" si="255">IF(M82="","",AK82)</f>
        <v/>
      </c>
      <c r="Q82" s="1414"/>
      <c r="R82" s="1415"/>
      <c r="S82" s="1323" t="str">
        <f t="shared" ref="S82" si="256">IF(M82="","",pb_currency_symbol)</f>
        <v/>
      </c>
      <c r="T82" s="1422"/>
      <c r="U82" s="1324" t="str">
        <f t="shared" si="213"/>
        <v/>
      </c>
      <c r="V82" s="1323" t="str">
        <f t="shared" ref="V82" si="257">IF(W82=0,"",pb_currency_symbol)</f>
        <v/>
      </c>
      <c r="W82" s="1424"/>
      <c r="X82" s="1427" t="str">
        <f t="shared" ref="X82" si="258">IF(M82="","",pb_currency_symbol)</f>
        <v/>
      </c>
      <c r="Y82" s="1326" t="str">
        <f t="shared" si="221"/>
        <v/>
      </c>
      <c r="Z82" s="1426" t="str" cm="1">
        <f t="array" ref="Z82">IF(M82="","",IF(P82=AK82,1,Slookup(MID(AK82,1,3)*1,UomConversion!$D$8:$J$500,5,UomConversion!$E$8:$E$500,MID(P82,1,3)*1,UomConversion!$J$8:$J$500,1)))</f>
        <v/>
      </c>
      <c r="AA82" s="1414" t="str">
        <f t="shared" si="222"/>
        <v/>
      </c>
      <c r="AB82" s="1416" t="str">
        <f t="shared" si="223"/>
        <v/>
      </c>
      <c r="AC82" s="1417" t="str">
        <f t="shared" si="224"/>
        <v/>
      </c>
      <c r="AD82" s="1418" t="str">
        <f t="shared" si="225"/>
        <v/>
      </c>
      <c r="AE82" s="1414" t="str">
        <f>IF(I82="","",IF(ISNA(MATCH(I82,IF(pb_location_id=1,'[1]1_inventory_totals'!$C$8:$C$10000,IF(pb_location_id=2,'[1]2_inventory_totals'!$C$8:$C$10000,"")),0)),0,IF(AR82&gt;0,1,0)))</f>
        <v/>
      </c>
      <c r="AF82" s="1414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G82" s="1414" t="str">
        <f>IF(M82="","",IF(ISNA(MATCH(I82,'[1]1_group_totals'!$C$8:$C$10000)),0,IF(AS82&gt;0,1,0)))</f>
        <v/>
      </c>
      <c r="AH82" s="1414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I82" s="1414" t="str">
        <f>IF(M82="","",IF(AJ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J82" s="1414" t="str">
        <f>IF(M82="","",SUMIFS('1_group_totals'!$J$8:$J$10000,'[1]1_group_totals'!$C$8:$C$10000,I82,'1_group_totals'!$F$8:$F$10000,pb_location_group_id,'[1]1_group_totals'!$G$8:$G$10000,pb_location_id,'[1]1_group_totals'!$H$8:$H$10000,"="&amp;Q82,'[1]1_group_totals'!$I$8:$I$10000,"="&amp;R82))</f>
        <v/>
      </c>
      <c r="AK82" s="1414" t="str">
        <f t="shared" si="226"/>
        <v/>
      </c>
      <c r="AL82" s="1414" t="str">
        <f>IF(OR(ISNA(MATCH(MID(AK82,1,3)*1,UomConversion!$D$8:$D$500,0)),M82=""),"",IF(AP82="","",AP82))</f>
        <v/>
      </c>
      <c r="AM82" s="1414" t="str">
        <f>IF(AND(AN82&gt;0,COUNTIFS(UomConversion!$D$8:$D$500,MID(AK82,1,3)*1,UomConversion!$J$8:$J$500,1)&gt;1),TEXT(AN82,"000")&amp;"."&amp;VLOOKUP(AN82,uom_list,4,FALSE),"")</f>
        <v/>
      </c>
      <c r="AN82" s="1414" t="str">
        <f t="shared" si="227"/>
        <v/>
      </c>
      <c r="AO82" s="1414" t="str">
        <f t="shared" si="228"/>
        <v/>
      </c>
      <c r="AP82" s="126" t="str">
        <f t="shared" si="229"/>
        <v/>
      </c>
      <c r="AQ82" s="126" t="str" cm="1">
        <f t="array" ref="AQ82">IF(M82="","",IF(ISNA(Slookup(MID(AK82,1,3)*1,UomConversion!$D$8:$J$500,2,UomConversion!$I$8:$I$500,1,UomConversion!$J$8:$J$500,1)),"",Slookup(MID(AK82,1,3)*1,UomConversion!$D$8:$J$500,2,UomConversion!$I$8:$I$500,1,UomConversion!$J$8:$J$500,1)))</f>
        <v/>
      </c>
      <c r="AR82" s="13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S82" s="126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5" ht="27" customHeight="1">
      <c r="A83" s="765"/>
      <c r="B83" s="931"/>
      <c r="C83" s="984"/>
      <c r="D83" s="984"/>
      <c r="E83" s="984"/>
      <c r="F83" s="942"/>
      <c r="G83" s="213"/>
      <c r="H83" s="906"/>
      <c r="I83" s="426" t="str">
        <f t="shared" si="216"/>
        <v/>
      </c>
      <c r="J83" s="1412" t="str">
        <f t="shared" si="230"/>
        <v/>
      </c>
      <c r="K83" s="1320" t="str">
        <f t="shared" si="217"/>
        <v/>
      </c>
      <c r="L83" s="1321"/>
      <c r="M83" s="1413"/>
      <c r="N83" s="1322"/>
      <c r="O83" s="1322"/>
      <c r="P83" s="1413" t="str">
        <f t="shared" si="255"/>
        <v/>
      </c>
      <c r="Q83" s="1414"/>
      <c r="R83" s="1415"/>
      <c r="S83" s="1323" t="str">
        <f t="shared" ref="S83" si="259">IF(M83="","",pb_currency_symbol)</f>
        <v/>
      </c>
      <c r="T83" s="1422"/>
      <c r="U83" s="1324" t="str">
        <f t="shared" si="213"/>
        <v/>
      </c>
      <c r="V83" s="1323" t="str">
        <f t="shared" ref="V83" si="260">IF(W83=0,"",pb_currency_symbol)</f>
        <v/>
      </c>
      <c r="W83" s="1424"/>
      <c r="X83" s="1427" t="str">
        <f t="shared" ref="X83" si="261">IF(M83="","",pb_currency_symbol)</f>
        <v/>
      </c>
      <c r="Y83" s="1326" t="str">
        <f t="shared" si="221"/>
        <v/>
      </c>
      <c r="Z83" s="1426" t="str" cm="1">
        <f t="array" ref="Z83">IF(M83="","",IF(P83=AK83,1,Slookup(MID(AK83,1,3)*1,UomConversion!$D$8:$J$500,5,UomConversion!$E$8:$E$500,MID(P83,1,3)*1,UomConversion!$J$8:$J$500,1)))</f>
        <v/>
      </c>
      <c r="AA83" s="1414" t="str">
        <f t="shared" si="222"/>
        <v/>
      </c>
      <c r="AB83" s="1416" t="str">
        <f t="shared" si="223"/>
        <v/>
      </c>
      <c r="AC83" s="1417" t="str">
        <f t="shared" si="224"/>
        <v/>
      </c>
      <c r="AD83" s="1418" t="str">
        <f t="shared" si="225"/>
        <v/>
      </c>
      <c r="AE83" s="1414" t="str">
        <f>IF(I83="","",IF(ISNA(MATCH(I83,IF(pb_location_id=1,'[1]1_inventory_totals'!$C$8:$C$10000,IF(pb_location_id=2,'[1]2_inventory_totals'!$C$8:$C$10000,"")),0)),0,IF(AR83&gt;0,1,0)))</f>
        <v/>
      </c>
      <c r="AF83" s="1414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G83" s="1414" t="str">
        <f>IF(M83="","",IF(ISNA(MATCH(I83,'[1]1_group_totals'!$C$8:$C$10000)),0,IF(AS83&gt;0,1,0)))</f>
        <v/>
      </c>
      <c r="AH83" s="1414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I83" s="1414" t="str">
        <f>IF(M83="","",IF(AJ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J83" s="1414" t="str">
        <f>IF(M83="","",SUMIFS('1_group_totals'!$J$8:$J$10000,'[1]1_group_totals'!$C$8:$C$10000,I83,'1_group_totals'!$F$8:$F$10000,pb_location_group_id,'[1]1_group_totals'!$G$8:$G$10000,pb_location_id,'[1]1_group_totals'!$H$8:$H$10000,"="&amp;Q83,'[1]1_group_totals'!$I$8:$I$10000,"="&amp;R83))</f>
        <v/>
      </c>
      <c r="AK83" s="1414" t="str">
        <f t="shared" si="226"/>
        <v/>
      </c>
      <c r="AL83" s="1414" t="str">
        <f>IF(OR(ISNA(MATCH(MID(AK83,1,3)*1,UomConversion!$D$8:$D$500,0)),M83=""),"",IF(AP83="","",AP83))</f>
        <v/>
      </c>
      <c r="AM83" s="1414" t="str">
        <f>IF(AND(AN83&gt;0,COUNTIFS(UomConversion!$D$8:$D$500,MID(AK83,1,3)*1,UomConversion!$J$8:$J$500,1)&gt;1),TEXT(AN83,"000")&amp;"."&amp;VLOOKUP(AN83,uom_list,4,FALSE),"")</f>
        <v/>
      </c>
      <c r="AN83" s="1414" t="str">
        <f t="shared" si="227"/>
        <v/>
      </c>
      <c r="AO83" s="1414" t="str">
        <f t="shared" si="228"/>
        <v/>
      </c>
      <c r="AP83" s="126" t="str">
        <f t="shared" si="229"/>
        <v/>
      </c>
      <c r="AQ83" s="126" t="str" cm="1">
        <f t="array" ref="AQ83">IF(M83="","",IF(ISNA(Slookup(MID(AK83,1,3)*1,UomConversion!$D$8:$J$500,2,UomConversion!$I$8:$I$500,1,UomConversion!$J$8:$J$500,1)),"",Slookup(MID(AK83,1,3)*1,UomConversion!$D$8:$J$500,2,UomConversion!$I$8:$I$500,1,UomConversion!$J$8:$J$500,1)))</f>
        <v/>
      </c>
      <c r="AR83" s="13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S83" s="126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5" ht="27" customHeight="1">
      <c r="A84" s="765"/>
      <c r="B84" s="931"/>
      <c r="C84" s="984"/>
      <c r="D84" s="984"/>
      <c r="E84" s="984"/>
      <c r="F84" s="942"/>
      <c r="G84" s="213"/>
      <c r="H84" s="906"/>
      <c r="I84" s="426" t="str">
        <f t="shared" si="216"/>
        <v/>
      </c>
      <c r="J84" s="1412" t="str">
        <f t="shared" si="230"/>
        <v/>
      </c>
      <c r="K84" s="1320" t="str">
        <f t="shared" si="217"/>
        <v/>
      </c>
      <c r="L84" s="1321"/>
      <c r="M84" s="1413"/>
      <c r="N84" s="1322"/>
      <c r="O84" s="1322"/>
      <c r="P84" s="1413" t="str">
        <f t="shared" si="255"/>
        <v/>
      </c>
      <c r="Q84" s="1414"/>
      <c r="R84" s="1415"/>
      <c r="S84" s="1323" t="str">
        <f t="shared" ref="S84" si="262">IF(M84="","",pb_currency_symbol)</f>
        <v/>
      </c>
      <c r="T84" s="1422"/>
      <c r="U84" s="1324" t="str">
        <f t="shared" si="213"/>
        <v/>
      </c>
      <c r="V84" s="1323" t="str">
        <f t="shared" ref="V84" si="263">IF(W84=0,"",pb_currency_symbol)</f>
        <v/>
      </c>
      <c r="W84" s="1424"/>
      <c r="X84" s="1427" t="str">
        <f t="shared" ref="X84" si="264">IF(M84="","",pb_currency_symbol)</f>
        <v/>
      </c>
      <c r="Y84" s="1326" t="str">
        <f t="shared" si="221"/>
        <v/>
      </c>
      <c r="Z84" s="1426" t="str" cm="1">
        <f t="array" ref="Z84">IF(M84="","",IF(P84=AK84,1,Slookup(MID(AK84,1,3)*1,UomConversion!$D$8:$J$500,5,UomConversion!$E$8:$E$500,MID(P84,1,3)*1,UomConversion!$J$8:$J$500,1)))</f>
        <v/>
      </c>
      <c r="AA84" s="1414" t="str">
        <f t="shared" si="222"/>
        <v/>
      </c>
      <c r="AB84" s="1416" t="str">
        <f t="shared" si="223"/>
        <v/>
      </c>
      <c r="AC84" s="1417" t="str">
        <f t="shared" si="224"/>
        <v/>
      </c>
      <c r="AD84" s="1418" t="str">
        <f t="shared" si="225"/>
        <v/>
      </c>
      <c r="AE84" s="1414" t="str">
        <f>IF(I84="","",IF(ISNA(MATCH(I84,IF(pb_location_id=1,'[1]1_inventory_totals'!$C$8:$C$10000,IF(pb_location_id=2,'[1]2_inventory_totals'!$C$8:$C$10000,"")),0)),0,IF(AR84&gt;0,1,0)))</f>
        <v/>
      </c>
      <c r="AF84" s="1414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G84" s="1414" t="str">
        <f>IF(M84="","",IF(ISNA(MATCH(I84,'[1]1_group_totals'!$C$8:$C$10000)),0,IF(AS84&gt;0,1,0)))</f>
        <v/>
      </c>
      <c r="AH84" s="1414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I84" s="1414" t="str">
        <f>IF(M84="","",IF(AJ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J84" s="1414" t="str">
        <f>IF(M84="","",SUMIFS('1_group_totals'!$J$8:$J$10000,'[1]1_group_totals'!$C$8:$C$10000,I84,'1_group_totals'!$F$8:$F$10000,pb_location_group_id,'[1]1_group_totals'!$G$8:$G$10000,pb_location_id,'[1]1_group_totals'!$H$8:$H$10000,"="&amp;Q84,'[1]1_group_totals'!$I$8:$I$10000,"="&amp;R84))</f>
        <v/>
      </c>
      <c r="AK84" s="1414" t="str">
        <f t="shared" si="226"/>
        <v/>
      </c>
      <c r="AL84" s="1414" t="str">
        <f>IF(OR(ISNA(MATCH(MID(AK84,1,3)*1,UomConversion!$D$8:$D$500,0)),M84=""),"",IF(AP84="","",AP84))</f>
        <v/>
      </c>
      <c r="AM84" s="1414" t="str">
        <f>IF(AND(AN84&gt;0,COUNTIFS(UomConversion!$D$8:$D$500,MID(AK84,1,3)*1,UomConversion!$J$8:$J$500,1)&gt;1),TEXT(AN84,"000")&amp;"."&amp;VLOOKUP(AN84,uom_list,4,FALSE),"")</f>
        <v/>
      </c>
      <c r="AN84" s="1414" t="str">
        <f t="shared" si="227"/>
        <v/>
      </c>
      <c r="AO84" s="1414" t="str">
        <f t="shared" si="228"/>
        <v/>
      </c>
      <c r="AP84" s="126" t="str">
        <f t="shared" si="229"/>
        <v/>
      </c>
      <c r="AQ84" s="126" t="str" cm="1">
        <f t="array" ref="AQ84">IF(M84="","",IF(ISNA(Slookup(MID(AK84,1,3)*1,UomConversion!$D$8:$J$500,2,UomConversion!$I$8:$I$500,1,UomConversion!$J$8:$J$500,1)),"",Slookup(MID(AK84,1,3)*1,UomConversion!$D$8:$J$500,2,UomConversion!$I$8:$I$500,1,UomConversion!$J$8:$J$500,1)))</f>
        <v/>
      </c>
      <c r="AR84" s="13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S84" s="126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5" ht="27" customHeight="1">
      <c r="A85" s="765"/>
      <c r="B85" s="931"/>
      <c r="C85" s="984"/>
      <c r="D85" s="984"/>
      <c r="E85" s="984"/>
      <c r="F85" s="942"/>
      <c r="G85" s="213"/>
      <c r="H85" s="906"/>
      <c r="I85" s="426" t="str">
        <f t="shared" si="216"/>
        <v/>
      </c>
      <c r="J85" s="1412" t="str">
        <f t="shared" si="230"/>
        <v/>
      </c>
      <c r="K85" s="1320" t="str">
        <f t="shared" si="217"/>
        <v/>
      </c>
      <c r="L85" s="1321"/>
      <c r="M85" s="1413"/>
      <c r="N85" s="1322"/>
      <c r="O85" s="1322"/>
      <c r="P85" s="1413" t="str">
        <f t="shared" si="255"/>
        <v/>
      </c>
      <c r="Q85" s="1414"/>
      <c r="R85" s="1415"/>
      <c r="S85" s="1323" t="str">
        <f t="shared" ref="S85" si="265">IF(M85="","",pb_currency_symbol)</f>
        <v/>
      </c>
      <c r="T85" s="1422"/>
      <c r="U85" s="1324" t="str">
        <f t="shared" si="213"/>
        <v/>
      </c>
      <c r="V85" s="1323" t="str">
        <f t="shared" ref="V85" si="266">IF(W85=0,"",pb_currency_symbol)</f>
        <v/>
      </c>
      <c r="W85" s="1424"/>
      <c r="X85" s="1427" t="str">
        <f t="shared" ref="X85" si="267">IF(M85="","",pb_currency_symbol)</f>
        <v/>
      </c>
      <c r="Y85" s="1326" t="str">
        <f t="shared" si="221"/>
        <v/>
      </c>
      <c r="Z85" s="1426" t="str" cm="1">
        <f t="array" ref="Z85">IF(M85="","",IF(P85=AK85,1,Slookup(MID(AK85,1,3)*1,UomConversion!$D$8:$J$500,5,UomConversion!$E$8:$E$500,MID(P85,1,3)*1,UomConversion!$J$8:$J$500,1)))</f>
        <v/>
      </c>
      <c r="AA85" s="1414" t="str">
        <f t="shared" si="222"/>
        <v/>
      </c>
      <c r="AB85" s="1416" t="str">
        <f t="shared" si="223"/>
        <v/>
      </c>
      <c r="AC85" s="1417" t="str">
        <f t="shared" si="224"/>
        <v/>
      </c>
      <c r="AD85" s="1418" t="str">
        <f t="shared" si="225"/>
        <v/>
      </c>
      <c r="AE85" s="1414" t="str">
        <f>IF(I85="","",IF(ISNA(MATCH(I85,IF(pb_location_id=1,'[1]1_inventory_totals'!$C$8:$C$10000,IF(pb_location_id=2,'[1]2_inventory_totals'!$C$8:$C$10000,"")),0)),0,IF(AR85&gt;0,1,0)))</f>
        <v/>
      </c>
      <c r="AF85" s="1414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G85" s="1414" t="str">
        <f>IF(M85="","",IF(ISNA(MATCH(I85,'[1]1_group_totals'!$C$8:$C$10000)),0,IF(AS85&gt;0,1,0)))</f>
        <v/>
      </c>
      <c r="AH85" s="1414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I85" s="1414" t="str">
        <f>IF(M85="","",IF(AJ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J85" s="1414" t="str">
        <f>IF(M85="","",SUMIFS('1_group_totals'!$J$8:$J$10000,'[1]1_group_totals'!$C$8:$C$10000,I85,'1_group_totals'!$F$8:$F$10000,pb_location_group_id,'[1]1_group_totals'!$G$8:$G$10000,pb_location_id,'[1]1_group_totals'!$H$8:$H$10000,"="&amp;Q85,'[1]1_group_totals'!$I$8:$I$10000,"="&amp;R85))</f>
        <v/>
      </c>
      <c r="AK85" s="1414" t="str">
        <f t="shared" si="226"/>
        <v/>
      </c>
      <c r="AL85" s="1414" t="str">
        <f>IF(OR(ISNA(MATCH(MID(AK85,1,3)*1,UomConversion!$D$8:$D$500,0)),M85=""),"",IF(AP85="","",AP85))</f>
        <v/>
      </c>
      <c r="AM85" s="1414" t="str">
        <f>IF(AND(AN85&gt;0,COUNTIFS(UomConversion!$D$8:$D$500,MID(AK85,1,3)*1,UomConversion!$J$8:$J$500,1)&gt;1),TEXT(AN85,"000")&amp;"."&amp;VLOOKUP(AN85,uom_list,4,FALSE),"")</f>
        <v/>
      </c>
      <c r="AN85" s="1414" t="str">
        <f t="shared" si="227"/>
        <v/>
      </c>
      <c r="AO85" s="1414" t="str">
        <f t="shared" si="228"/>
        <v/>
      </c>
      <c r="AP85" s="126" t="str">
        <f t="shared" si="229"/>
        <v/>
      </c>
      <c r="AQ85" s="126" t="str" cm="1">
        <f t="array" ref="AQ85">IF(M85="","",IF(ISNA(Slookup(MID(AK85,1,3)*1,UomConversion!$D$8:$J$500,2,UomConversion!$I$8:$I$500,1,UomConversion!$J$8:$J$500,1)),"",Slookup(MID(AK85,1,3)*1,UomConversion!$D$8:$J$500,2,UomConversion!$I$8:$I$500,1,UomConversion!$J$8:$J$500,1)))</f>
        <v/>
      </c>
      <c r="AR85" s="13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S85" s="126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5" ht="27" customHeight="1">
      <c r="A86" s="765"/>
      <c r="B86" s="931"/>
      <c r="C86" s="984"/>
      <c r="D86" s="984"/>
      <c r="E86" s="984"/>
      <c r="F86" s="942"/>
      <c r="G86" s="213"/>
      <c r="H86" s="906"/>
      <c r="I86" s="426" t="str">
        <f t="shared" si="216"/>
        <v/>
      </c>
      <c r="J86" s="1412" t="str">
        <f t="shared" si="230"/>
        <v/>
      </c>
      <c r="K86" s="1320" t="str">
        <f t="shared" si="217"/>
        <v/>
      </c>
      <c r="L86" s="1321"/>
      <c r="M86" s="1413"/>
      <c r="N86" s="1322"/>
      <c r="O86" s="1322"/>
      <c r="P86" s="1413" t="str">
        <f t="shared" si="255"/>
        <v/>
      </c>
      <c r="Q86" s="1414"/>
      <c r="R86" s="1415"/>
      <c r="S86" s="1323" t="str">
        <f t="shared" ref="S86" si="268">IF(M86="","",pb_currency_symbol)</f>
        <v/>
      </c>
      <c r="T86" s="1422"/>
      <c r="U86" s="1324" t="str">
        <f t="shared" si="213"/>
        <v/>
      </c>
      <c r="V86" s="1323" t="str">
        <f t="shared" ref="V86" si="269">IF(W86=0,"",pb_currency_symbol)</f>
        <v/>
      </c>
      <c r="W86" s="1424"/>
      <c r="X86" s="1427" t="str">
        <f t="shared" ref="X86" si="270">IF(M86="","",pb_currency_symbol)</f>
        <v/>
      </c>
      <c r="Y86" s="1326" t="str">
        <f t="shared" si="221"/>
        <v/>
      </c>
      <c r="Z86" s="1426" t="str" cm="1">
        <f t="array" ref="Z86">IF(M86="","",IF(P86=AK86,1,Slookup(MID(AK86,1,3)*1,UomConversion!$D$8:$J$500,5,UomConversion!$E$8:$E$500,MID(P86,1,3)*1,UomConversion!$J$8:$J$500,1)))</f>
        <v/>
      </c>
      <c r="AA86" s="1414" t="str">
        <f t="shared" si="222"/>
        <v/>
      </c>
      <c r="AB86" s="1416" t="str">
        <f t="shared" si="223"/>
        <v/>
      </c>
      <c r="AC86" s="1417" t="str">
        <f t="shared" si="224"/>
        <v/>
      </c>
      <c r="AD86" s="1418" t="str">
        <f t="shared" si="225"/>
        <v/>
      </c>
      <c r="AE86" s="1414" t="str">
        <f>IF(I86="","",IF(ISNA(MATCH(I86,IF(pb_location_id=1,'[1]1_inventory_totals'!$C$8:$C$10000,IF(pb_location_id=2,'[1]2_inventory_totals'!$C$8:$C$10000,"")),0)),0,IF(AR86&gt;0,1,0)))</f>
        <v/>
      </c>
      <c r="AF86" s="1414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G86" s="1414" t="str">
        <f>IF(M86="","",IF(ISNA(MATCH(I86,'[1]1_group_totals'!$C$8:$C$10000)),0,IF(AS86&gt;0,1,0)))</f>
        <v/>
      </c>
      <c r="AH86" s="1414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I86" s="1414" t="str">
        <f>IF(M86="","",IF(AJ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J86" s="1414" t="str">
        <f>IF(M86="","",SUMIFS('1_group_totals'!$J$8:$J$10000,'[1]1_group_totals'!$C$8:$C$10000,I86,'1_group_totals'!$F$8:$F$10000,pb_location_group_id,'[1]1_group_totals'!$G$8:$G$10000,pb_location_id,'[1]1_group_totals'!$H$8:$H$10000,"="&amp;Q86,'[1]1_group_totals'!$I$8:$I$10000,"="&amp;R86))</f>
        <v/>
      </c>
      <c r="AK86" s="1414" t="str">
        <f t="shared" si="226"/>
        <v/>
      </c>
      <c r="AL86" s="1414" t="str">
        <f>IF(OR(ISNA(MATCH(MID(AK86,1,3)*1,UomConversion!$D$8:$D$500,0)),M86=""),"",IF(AP86="","",AP86))</f>
        <v/>
      </c>
      <c r="AM86" s="1414" t="str">
        <f>IF(AND(AN86&gt;0,COUNTIFS(UomConversion!$D$8:$D$500,MID(AK86,1,3)*1,UomConversion!$J$8:$J$500,1)&gt;1),TEXT(AN86,"000")&amp;"."&amp;VLOOKUP(AN86,uom_list,4,FALSE),"")</f>
        <v/>
      </c>
      <c r="AN86" s="1414" t="str">
        <f t="shared" si="227"/>
        <v/>
      </c>
      <c r="AO86" s="1414" t="str">
        <f t="shared" si="228"/>
        <v/>
      </c>
      <c r="AP86" s="126" t="str">
        <f t="shared" si="229"/>
        <v/>
      </c>
      <c r="AQ86" s="126" t="str" cm="1">
        <f t="array" ref="AQ86">IF(M86="","",IF(ISNA(Slookup(MID(AK86,1,3)*1,UomConversion!$D$8:$J$500,2,UomConversion!$I$8:$I$500,1,UomConversion!$J$8:$J$500,1)),"",Slookup(MID(AK86,1,3)*1,UomConversion!$D$8:$J$500,2,UomConversion!$I$8:$I$500,1,UomConversion!$J$8:$J$500,1)))</f>
        <v/>
      </c>
      <c r="AR86" s="13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S86" s="126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5" ht="27" customHeight="1">
      <c r="A87" s="765"/>
      <c r="B87" s="931"/>
      <c r="C87" s="984"/>
      <c r="D87" s="984"/>
      <c r="E87" s="984"/>
      <c r="F87" s="942"/>
      <c r="G87" s="213"/>
      <c r="I87" s="426" t="str">
        <f t="shared" si="216"/>
        <v/>
      </c>
      <c r="J87" s="1412" t="str">
        <f t="shared" si="230"/>
        <v/>
      </c>
      <c r="K87" s="1320" t="str">
        <f t="shared" si="217"/>
        <v/>
      </c>
      <c r="L87" s="1321"/>
      <c r="M87" s="1413"/>
      <c r="N87" s="1322"/>
      <c r="O87" s="1322"/>
      <c r="P87" s="1413" t="str">
        <f t="shared" si="255"/>
        <v/>
      </c>
      <c r="Q87" s="1414"/>
      <c r="R87" s="1415"/>
      <c r="S87" s="1323" t="str">
        <f t="shared" ref="S87" si="271">IF(M87="","",pb_currency_symbol)</f>
        <v/>
      </c>
      <c r="T87" s="1422"/>
      <c r="U87" s="1324" t="str">
        <f t="shared" si="213"/>
        <v/>
      </c>
      <c r="V87" s="1323" t="str">
        <f t="shared" ref="V87" si="272">IF(W87=0,"",pb_currency_symbol)</f>
        <v/>
      </c>
      <c r="W87" s="1424"/>
      <c r="X87" s="1427" t="str">
        <f t="shared" ref="X87" si="273">IF(M87="","",pb_currency_symbol)</f>
        <v/>
      </c>
      <c r="Y87" s="1326" t="str">
        <f t="shared" si="221"/>
        <v/>
      </c>
      <c r="Z87" s="1426" t="str" cm="1">
        <f t="array" ref="Z87">IF(M87="","",IF(P87=AK87,1,Slookup(MID(AK87,1,3)*1,UomConversion!$D$8:$J$500,5,UomConversion!$E$8:$E$500,MID(P87,1,3)*1,UomConversion!$J$8:$J$500,1)))</f>
        <v/>
      </c>
      <c r="AA87" s="1414" t="str">
        <f t="shared" si="222"/>
        <v/>
      </c>
      <c r="AB87" s="1416" t="str">
        <f t="shared" si="223"/>
        <v/>
      </c>
      <c r="AC87" s="1417" t="str">
        <f t="shared" si="224"/>
        <v/>
      </c>
      <c r="AD87" s="1418" t="str">
        <f t="shared" si="225"/>
        <v/>
      </c>
      <c r="AE87" s="1414" t="str">
        <f>IF(I87="","",IF(ISNA(MATCH(I87,IF(pb_location_id=1,'[1]1_inventory_totals'!$C$8:$C$10000,IF(pb_location_id=2,'[1]2_inventory_totals'!$C$8:$C$10000,"")),0)),0,IF(AR87&gt;0,1,0)))</f>
        <v/>
      </c>
      <c r="AF87" s="1414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G87" s="1414" t="str">
        <f>IF(M87="","",IF(ISNA(MATCH(I87,'[1]1_group_totals'!$C$8:$C$10000)),0,IF(AS87&gt;0,1,0)))</f>
        <v/>
      </c>
      <c r="AH87" s="1414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I87" s="1414" t="str">
        <f>IF(M87="","",IF(AJ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J87" s="1414" t="str">
        <f>IF(M87="","",SUMIFS('1_group_totals'!$J$8:$J$10000,'[1]1_group_totals'!$C$8:$C$10000,I87,'1_group_totals'!$F$8:$F$10000,pb_location_group_id,'[1]1_group_totals'!$G$8:$G$10000,pb_location_id,'[1]1_group_totals'!$H$8:$H$10000,"="&amp;Q87,'[1]1_group_totals'!$I$8:$I$10000,"="&amp;R87))</f>
        <v/>
      </c>
      <c r="AK87" s="1414" t="str">
        <f t="shared" si="226"/>
        <v/>
      </c>
      <c r="AL87" s="1414" t="str">
        <f>IF(OR(ISNA(MATCH(MID(AK87,1,3)*1,UomConversion!$D$8:$D$500,0)),M87=""),"",IF(AP87="","",AP87))</f>
        <v/>
      </c>
      <c r="AM87" s="1414" t="str">
        <f>IF(AND(AN87&gt;0,COUNTIFS(UomConversion!$D$8:$D$500,MID(AK87,1,3)*1,UomConversion!$J$8:$J$500,1)&gt;1),TEXT(AN87,"000")&amp;"."&amp;VLOOKUP(AN87,uom_list,4,FALSE),"")</f>
        <v/>
      </c>
      <c r="AN87" s="1414" t="str">
        <f t="shared" si="227"/>
        <v/>
      </c>
      <c r="AO87" s="1414" t="str">
        <f t="shared" si="228"/>
        <v/>
      </c>
      <c r="AP87" s="126" t="str">
        <f t="shared" si="229"/>
        <v/>
      </c>
      <c r="AQ87" s="126" t="str" cm="1">
        <f t="array" ref="AQ87">IF(M87="","",IF(ISNA(Slookup(MID(AK87,1,3)*1,UomConversion!$D$8:$J$500,2,UomConversion!$I$8:$I$500,1,UomConversion!$J$8:$J$500,1)),"",Slookup(MID(AK87,1,3)*1,UomConversion!$D$8:$J$500,2,UomConversion!$I$8:$I$500,1,UomConversion!$J$8:$J$500,1)))</f>
        <v/>
      </c>
      <c r="AR87" s="13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S87" s="126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5" ht="27" customHeight="1" thickBot="1">
      <c r="A88" s="765"/>
      <c r="B88" s="931"/>
      <c r="C88" s="984"/>
      <c r="D88" s="984"/>
      <c r="E88" s="984"/>
      <c r="F88" s="942"/>
      <c r="G88" s="213"/>
      <c r="I88" s="1315"/>
      <c r="J88" s="830"/>
      <c r="K88" s="265"/>
      <c r="L88" s="128"/>
      <c r="M88" s="881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79"/>
      <c r="O88" s="1234" t="s">
        <v>1840</v>
      </c>
      <c r="P88" s="1234" t="s">
        <v>1841</v>
      </c>
      <c r="Q88" s="1234"/>
      <c r="R88" s="1234"/>
      <c r="S88" s="302"/>
      <c r="T88" s="302"/>
      <c r="U88" s="1408"/>
      <c r="V88" s="1429"/>
      <c r="W88" s="1409" t="s">
        <v>1842</v>
      </c>
      <c r="X88" s="1410" t="str">
        <f>pb_currency_symbol</f>
        <v>$</v>
      </c>
      <c r="Y88" s="1411">
        <f>SUM(Y8:Y87)</f>
        <v>36</v>
      </c>
      <c r="AB88" s="1119">
        <f>SUM(AB8:AB87)</f>
        <v>0</v>
      </c>
      <c r="AC88" s="311"/>
      <c r="AD88" s="825"/>
    </row>
    <row r="89" spans="1:45" ht="27" customHeight="1" thickBot="1">
      <c r="A89" s="765"/>
      <c r="B89" s="931"/>
      <c r="C89" s="923"/>
      <c r="D89" s="923"/>
      <c r="E89" s="923"/>
      <c r="F89" s="942"/>
      <c r="G89" s="213"/>
      <c r="J89" s="771"/>
      <c r="M89" s="966" t="s">
        <v>64</v>
      </c>
      <c r="N89" s="756">
        <f>MID(pb_discount_option,1,1)*1</f>
        <v>1</v>
      </c>
      <c r="O89" s="964">
        <v>0</v>
      </c>
      <c r="P89" s="965" t="s">
        <v>63</v>
      </c>
      <c r="Q89" s="1096"/>
      <c r="R89" s="1096"/>
      <c r="U89" s="1053">
        <f>IFERROR(IF(pb_discount_option="",0,IF(pb_discount_id*1=1,N(pb_discount_amount),IF(pb_discount_id*1=2,(pb_sub_total_amount*pb_discount_percent)/100,0))),0)</f>
        <v>0</v>
      </c>
      <c r="V89" s="1430" t="str">
        <f>pb_currency_symbol</f>
        <v>$</v>
      </c>
      <c r="W89" s="1067" t="s">
        <v>1843</v>
      </c>
      <c r="X89" s="1066" t="str">
        <f>pb_currency_symbol</f>
        <v>$</v>
      </c>
      <c r="Y89" s="1047">
        <f>IFERROR(IF(pb_discount_option="",0,IF(pb_discount_id=1,N(pb_discount_amount),IF(pb_discount_id=2,(pb_sub_total_amount*pb_discount_percent)/100,0))),0)</f>
        <v>0</v>
      </c>
      <c r="AB89" s="143" t="s">
        <v>1779</v>
      </c>
      <c r="AC89" s="1075"/>
    </row>
    <row r="90" spans="1:45" ht="27" customHeight="1">
      <c r="B90" s="931"/>
      <c r="C90" s="946"/>
      <c r="D90" s="946"/>
      <c r="E90" s="946"/>
      <c r="F90" s="942"/>
      <c r="G90" s="213"/>
      <c r="J90" s="830"/>
      <c r="K90" s="265"/>
      <c r="L90" s="128"/>
      <c r="M90" s="831"/>
      <c r="N90" s="832"/>
      <c r="S90" s="1064">
        <f>VLOOKUP(1,company_list,6,FALSE)</f>
        <v>2</v>
      </c>
      <c r="T90" s="1064"/>
      <c r="U90" s="1054" t="s">
        <v>2571</v>
      </c>
      <c r="V90" s="1433">
        <f>IF(U90="","",VLOOKUP(MID(U90,1,2)*1,vat_list,3,FALSE))</f>
        <v>0</v>
      </c>
      <c r="W90" s="1067" t="s">
        <v>1844</v>
      </c>
      <c r="X90" s="1066" t="str">
        <f>pb_currency_symbol</f>
        <v>$</v>
      </c>
      <c r="Y90" s="1047">
        <f>IF(OR(pb_sub_total_amount="",pb_sub_total_amount=0,pb_vat=""),0,IF(pb_vat_cal_id=2,(pb_sub_total_amount-pb_discount)*pb_vat_percent/100,IF(pb_vat_cal_id=1,(pb_sub_total_amount)*pb_vat_percent/100,"")))</f>
        <v>0</v>
      </c>
      <c r="AB90" s="692" t="s">
        <v>2269</v>
      </c>
      <c r="AC90" s="535"/>
    </row>
    <row r="91" spans="1:45" ht="27" customHeight="1" thickBot="1">
      <c r="B91" s="947"/>
      <c r="C91" s="948"/>
      <c r="D91" s="949"/>
      <c r="E91" s="950"/>
      <c r="F91" s="951"/>
      <c r="J91" s="771"/>
      <c r="K91" s="1019"/>
      <c r="L91" s="1019"/>
      <c r="P91" s="127"/>
      <c r="Q91" s="127"/>
      <c r="R91" s="127"/>
      <c r="S91" s="1065"/>
      <c r="T91" s="1065"/>
      <c r="U91" s="1068">
        <v>18</v>
      </c>
      <c r="V91" s="1431"/>
      <c r="W91" s="1067" t="s">
        <v>2348</v>
      </c>
      <c r="X91" s="1066" t="str">
        <f>pb_currency_symbol</f>
        <v>$</v>
      </c>
      <c r="Y91" s="1047">
        <v>0</v>
      </c>
    </row>
    <row r="92" spans="1:45" ht="24.95" customHeight="1">
      <c r="J92" s="593"/>
      <c r="K92" s="593"/>
      <c r="L92" s="593"/>
      <c r="M92" s="689"/>
      <c r="N92" s="689"/>
      <c r="P92" s="426" t="s">
        <v>283</v>
      </c>
      <c r="Q92" s="426"/>
      <c r="R92" s="426"/>
      <c r="W92" s="1067" t="s">
        <v>1845</v>
      </c>
      <c r="X92" s="1066" t="str">
        <f>pb_currency_symbol</f>
        <v>$</v>
      </c>
      <c r="Y92" s="1047">
        <f>pb_sub_total_amount-pb_discount-pb_deposit+pb_total_vat</f>
        <v>36</v>
      </c>
    </row>
    <row r="93" spans="1:45" ht="25.5" customHeight="1"/>
    <row r="101" spans="46:65" ht="30" customHeight="1"/>
    <row r="102" spans="46:65" ht="30" customHeight="1"/>
    <row r="103" spans="46:65" ht="30" customHeight="1"/>
    <row r="104" spans="46:65" ht="30" customHeight="1"/>
    <row r="110" spans="46:65" ht="24.95" customHeight="1">
      <c r="AT110" s="135"/>
    </row>
    <row r="112" spans="46:65" ht="7.5" customHeight="1">
      <c r="AU112" s="472"/>
      <c r="BM112" s="693"/>
    </row>
    <row r="113" spans="46:78" ht="24.95" customHeight="1">
      <c r="AT113" s="1226" t="s">
        <v>1723</v>
      </c>
      <c r="BL113" s="1274"/>
    </row>
    <row r="114" spans="46:78" ht="24.95" customHeight="1">
      <c r="AT114" s="1072" t="s">
        <v>288</v>
      </c>
      <c r="AU114" s="637"/>
      <c r="AV114" s="637" t="s">
        <v>1717</v>
      </c>
      <c r="AW114" s="697" t="str">
        <f>VLOOKUP(1,company_list,2,FALSE)</f>
        <v>គោកស្នួល ខនស្រ្តាក់សិន មេធៀរៀល</v>
      </c>
      <c r="AX114" s="278"/>
      <c r="AY114" s="278"/>
      <c r="AZ114" s="278"/>
      <c r="BL114" s="1275"/>
      <c r="BN114" s="699"/>
      <c r="BO114" s="699"/>
      <c r="BP114" s="699"/>
      <c r="BQ114" s="699"/>
      <c r="BR114" s="129"/>
    </row>
    <row r="115" spans="46:78" ht="24.95" customHeight="1">
      <c r="AT115" s="489" t="s">
        <v>147</v>
      </c>
      <c r="AU115" s="733"/>
      <c r="AV115" s="733" t="s">
        <v>1717</v>
      </c>
      <c r="AW115" s="700" t="e">
        <f>IF(C13="","",VLOOKUP(MID(C13,1,2),branch_list,4,FALSE))</f>
        <v>#N/A</v>
      </c>
      <c r="AX115" s="703"/>
      <c r="AY115" s="703"/>
      <c r="AZ115" s="703"/>
      <c r="BL115" s="1577"/>
      <c r="BM115" s="1577"/>
      <c r="BN115" s="1577"/>
      <c r="BO115" s="1577"/>
      <c r="BP115" s="1577"/>
      <c r="BQ115" s="699"/>
      <c r="BR115" s="129"/>
    </row>
    <row r="116" spans="46:78" ht="24.95" customHeight="1">
      <c r="AT116" s="489" t="s">
        <v>145</v>
      </c>
      <c r="AU116" s="733"/>
      <c r="AV116" s="733" t="s">
        <v>1717</v>
      </c>
      <c r="AW116" s="700" t="e">
        <f>IF(C13="","",VLOOKUP(MID(C13,1,2),branch_list,11,FALSE))</f>
        <v>#N/A</v>
      </c>
      <c r="AX116" s="703"/>
      <c r="AY116" s="703"/>
      <c r="AZ116" s="703"/>
      <c r="BB116" s="1578" t="str">
        <f>IF(quote_service_type="","",MID(quote_service_type,5,100))</f>
        <v>សាប៊ូបញ្ចុះតម្លៃ</v>
      </c>
      <c r="BC116" s="1578"/>
      <c r="BD116" s="1578"/>
      <c r="BE116" s="1578"/>
      <c r="BF116" s="1578"/>
      <c r="BG116" s="241"/>
      <c r="BH116" s="1570"/>
      <c r="BL116" s="1577"/>
      <c r="BM116" s="1577"/>
      <c r="BN116" s="1577"/>
      <c r="BO116" s="1577"/>
      <c r="BP116" s="1577"/>
      <c r="BQ116" s="699"/>
      <c r="BR116" s="129"/>
    </row>
    <row r="117" spans="46:78" ht="24.95" customHeight="1">
      <c r="AT117" s="1226"/>
      <c r="AU117" s="472"/>
      <c r="BB117" s="1578"/>
      <c r="BC117" s="1578"/>
      <c r="BD117" s="1578"/>
      <c r="BE117" s="1578"/>
      <c r="BF117" s="1578"/>
      <c r="BG117" s="241"/>
      <c r="BH117" s="1570"/>
      <c r="BL117" s="1276"/>
      <c r="BM117" s="693"/>
      <c r="BT117" s="1569" t="str">
        <f>IF(quote_service_type="","",MID(quote_service_type,5,100))</f>
        <v>សាប៊ូបញ្ចុះតម្លៃ</v>
      </c>
      <c r="BU117" s="1569"/>
      <c r="BV117" s="1569"/>
      <c r="BW117" s="1569"/>
      <c r="BX117" s="1569"/>
      <c r="BZ117" s="1570"/>
    </row>
    <row r="118" spans="46:78" ht="24.95" customHeight="1">
      <c r="AY118" s="229"/>
      <c r="AZ118" s="229"/>
      <c r="BB118" s="1578"/>
      <c r="BC118" s="1578"/>
      <c r="BD118" s="1578"/>
      <c r="BE118" s="1578"/>
      <c r="BF118" s="1578"/>
      <c r="BG118" s="241"/>
      <c r="BH118" s="1570"/>
      <c r="BQ118" s="229"/>
      <c r="BR118" s="229"/>
      <c r="BT118" s="1569"/>
      <c r="BU118" s="1569"/>
      <c r="BV118" s="1569"/>
      <c r="BW118" s="1569"/>
      <c r="BX118" s="1569"/>
      <c r="BZ118" s="1570"/>
    </row>
    <row r="119" spans="46:78" ht="24.95" customHeight="1">
      <c r="AT119" s="1572" t="s">
        <v>288</v>
      </c>
      <c r="AU119" s="1572"/>
      <c r="AV119" s="222" t="s">
        <v>1717</v>
      </c>
      <c r="AW119" s="705" t="e">
        <f>IF(C11="","",VLOOKUP(MID(C11,1,4),customer_list,4,FALSE))</f>
        <v>#N/A</v>
      </c>
      <c r="AX119" s="229"/>
      <c r="AY119" s="706"/>
      <c r="AZ119" s="706"/>
      <c r="BD119" s="477"/>
      <c r="BE119" s="707"/>
      <c r="BF119" s="477"/>
      <c r="BG119" s="707"/>
      <c r="BL119" s="1572" t="s">
        <v>288</v>
      </c>
      <c r="BM119" s="1572"/>
      <c r="BN119" s="327" t="s">
        <v>1717</v>
      </c>
      <c r="BO119" s="705" t="e">
        <f>IF(C11="","",VLOOKUP(MID(C11,1,4),customer_list,4,FALSE))</f>
        <v>#N/A</v>
      </c>
      <c r="BP119" s="229"/>
      <c r="BQ119" s="706"/>
      <c r="BR119" s="706"/>
      <c r="BZ119" s="1570"/>
    </row>
    <row r="120" spans="46:78" ht="24.95" customHeight="1">
      <c r="AT120" s="1572" t="s">
        <v>147</v>
      </c>
      <c r="AU120" s="1572"/>
      <c r="AV120" s="222" t="s">
        <v>1717</v>
      </c>
      <c r="AW120" s="326" t="e">
        <f>IF(C11="","",VLOOKUP(MID(C11,1,4),customer_list,8,FALSE))</f>
        <v>#N/A</v>
      </c>
      <c r="AX120" s="706"/>
      <c r="AY120" s="706"/>
      <c r="AZ120" s="706"/>
      <c r="BD120" s="268"/>
      <c r="BE120" s="268" t="s">
        <v>99</v>
      </c>
      <c r="BF120" s="327" t="s">
        <v>1717</v>
      </c>
      <c r="BG120" s="708"/>
      <c r="BH120" s="709">
        <f>IF(C9="","",C9)</f>
        <v>46185</v>
      </c>
      <c r="BI120" s="709"/>
      <c r="BL120" s="1572" t="s">
        <v>147</v>
      </c>
      <c r="BM120" s="1572"/>
      <c r="BN120" s="327" t="s">
        <v>1717</v>
      </c>
      <c r="BO120" s="326" t="e">
        <f>IF(C11="","",VLOOKUP(MID(C11,1,4),customer_list,8,FALSE))</f>
        <v>#N/A</v>
      </c>
      <c r="BP120" s="706"/>
      <c r="BQ120" s="706"/>
      <c r="BR120" s="706"/>
      <c r="BV120" s="268"/>
      <c r="BW120" s="306"/>
      <c r="BX120" s="710" t="s">
        <v>1817</v>
      </c>
      <c r="BY120" s="708"/>
      <c r="BZ120" s="709">
        <f>IF(C9="","",C9)</f>
        <v>46185</v>
      </c>
    </row>
    <row r="121" spans="46:78" ht="24.95" customHeight="1">
      <c r="AT121" s="1572" t="s">
        <v>145</v>
      </c>
      <c r="AU121" s="1572"/>
      <c r="AV121" s="222" t="s">
        <v>1717</v>
      </c>
      <c r="AW121" s="706" t="e">
        <f>IF(C11="","",VLOOKUP(MID(C11,1,4),customer_list,6,FALSE))</f>
        <v>#N/A</v>
      </c>
      <c r="AX121" s="706"/>
      <c r="BD121" s="268"/>
      <c r="BE121" s="268" t="s">
        <v>204</v>
      </c>
      <c r="BF121" s="327" t="s">
        <v>1717</v>
      </c>
      <c r="BG121" s="1277"/>
      <c r="BH121" s="1277" t="str">
        <f>IF(E9="","",E9)</f>
        <v>26PB000003</v>
      </c>
      <c r="BL121" s="1572" t="s">
        <v>145</v>
      </c>
      <c r="BM121" s="1572"/>
      <c r="BN121" s="327" t="s">
        <v>1717</v>
      </c>
      <c r="BO121" s="706" t="e">
        <f>IF(C11="","",VLOOKUP(MID(C11,1,4),customer_list,6,FALSE))</f>
        <v>#N/A</v>
      </c>
      <c r="BP121" s="706"/>
      <c r="BV121" s="268"/>
      <c r="BW121" s="306"/>
      <c r="BX121" s="306" t="s">
        <v>1818</v>
      </c>
      <c r="BY121" s="1277"/>
      <c r="BZ121" s="1277" t="str">
        <f>IF(E9="","",E9)</f>
        <v>26PB000003</v>
      </c>
    </row>
    <row r="122" spans="46:78" ht="12" customHeight="1"/>
    <row r="123" spans="46:78" ht="24.95" customHeight="1">
      <c r="AT123" s="1227" t="s">
        <v>59</v>
      </c>
      <c r="AU123" s="1567" t="s">
        <v>204</v>
      </c>
      <c r="AV123" s="1573"/>
      <c r="AW123" s="1573"/>
      <c r="AX123" s="1567" t="s">
        <v>126</v>
      </c>
      <c r="AY123" s="1568"/>
      <c r="AZ123" s="1279" t="s">
        <v>91</v>
      </c>
      <c r="BA123" s="1279" t="s">
        <v>91</v>
      </c>
      <c r="BB123" s="1279" t="s">
        <v>75</v>
      </c>
      <c r="BC123" s="1567" t="s">
        <v>76</v>
      </c>
      <c r="BD123" s="1568"/>
      <c r="BE123" s="1567" t="s">
        <v>58</v>
      </c>
      <c r="BF123" s="1568"/>
      <c r="BG123" s="1567" t="s">
        <v>263</v>
      </c>
      <c r="BH123" s="1568"/>
      <c r="BI123" s="135"/>
      <c r="BL123" s="1279" t="s">
        <v>59</v>
      </c>
      <c r="BM123" s="1567" t="s">
        <v>204</v>
      </c>
      <c r="BN123" s="1573"/>
      <c r="BO123" s="1573"/>
      <c r="BP123" s="1567" t="s">
        <v>126</v>
      </c>
      <c r="BQ123" s="1568"/>
      <c r="BR123" s="1279" t="s">
        <v>91</v>
      </c>
      <c r="BS123" s="1279" t="s">
        <v>91</v>
      </c>
      <c r="BT123" s="1278" t="s">
        <v>75</v>
      </c>
      <c r="BU123" s="1567" t="s">
        <v>76</v>
      </c>
      <c r="BV123" s="1568"/>
      <c r="BW123" s="1567" t="s">
        <v>58</v>
      </c>
      <c r="BX123" s="1568"/>
      <c r="BY123" s="1567" t="s">
        <v>263</v>
      </c>
      <c r="BZ123" s="1568"/>
    </row>
    <row r="124" spans="46:78" ht="24.95" customHeight="1">
      <c r="AT124" s="1228" t="s">
        <v>10</v>
      </c>
      <c r="AU124" s="1565" t="s">
        <v>132</v>
      </c>
      <c r="AV124" s="1571"/>
      <c r="AW124" s="1571"/>
      <c r="AX124" s="1565" t="s">
        <v>388</v>
      </c>
      <c r="AY124" s="1566"/>
      <c r="AZ124" s="1228" t="s">
        <v>93</v>
      </c>
      <c r="BA124" s="1228" t="s">
        <v>836</v>
      </c>
      <c r="BB124" s="1228" t="s">
        <v>15</v>
      </c>
      <c r="BC124" s="1565" t="s">
        <v>94</v>
      </c>
      <c r="BD124" s="1566"/>
      <c r="BE124" s="1565" t="s">
        <v>113</v>
      </c>
      <c r="BF124" s="1566"/>
      <c r="BG124" s="1565" t="s">
        <v>1718</v>
      </c>
      <c r="BH124" s="1566"/>
      <c r="BL124" s="1228" t="s">
        <v>10</v>
      </c>
      <c r="BM124" s="1565" t="s">
        <v>132</v>
      </c>
      <c r="BN124" s="1571"/>
      <c r="BO124" s="1571"/>
      <c r="BP124" s="1565" t="s">
        <v>388</v>
      </c>
      <c r="BQ124" s="1566"/>
      <c r="BR124" s="1228" t="s">
        <v>93</v>
      </c>
      <c r="BS124" s="1228" t="s">
        <v>836</v>
      </c>
      <c r="BT124" s="1280" t="s">
        <v>15</v>
      </c>
      <c r="BU124" s="1565" t="s">
        <v>94</v>
      </c>
      <c r="BV124" s="1566"/>
      <c r="BW124" s="1565" t="s">
        <v>113</v>
      </c>
      <c r="BX124" s="1566"/>
      <c r="BY124" s="1565" t="s">
        <v>1718</v>
      </c>
      <c r="BZ124" s="1566"/>
    </row>
    <row r="125" spans="46:78" ht="24.95" customHeight="1">
      <c r="AT125" s="1074">
        <f>IF(M8="","",1)</f>
        <v>1</v>
      </c>
      <c r="AU125" s="718" t="str">
        <f t="shared" ref="AU125:AU156" si="274">IF(K8&lt;&gt;"",K8,"")</f>
        <v>KS01</v>
      </c>
      <c r="AV125" s="718"/>
      <c r="AW125" s="719"/>
      <c r="AX125" s="720" t="str">
        <f t="shared" ref="AX125:AX156" si="275">IF(M8&lt;&gt;"",MID(M8,7,200),"")</f>
        <v>អំពូលភ្លើង 75W #KS01</v>
      </c>
      <c r="AY125" s="721"/>
      <c r="AZ125" s="722">
        <f t="shared" ref="AZ125:AZ156" si="276">IF(N8&gt;0,N8,"")</f>
        <v>2</v>
      </c>
      <c r="BA125" s="722" t="str">
        <f t="shared" ref="BA125:BA156" si="277">IF(O8&lt;&gt;"",O8,"")</f>
        <v/>
      </c>
      <c r="BB125" s="723" t="str">
        <f t="shared" ref="BB125:BB156" si="278">IF(M8&lt;&gt;"",MID(P8,5,100),"")</f>
        <v>Case/6boxs</v>
      </c>
      <c r="BC125" s="724" t="str">
        <f t="shared" ref="BC125:BC188" si="279">IF(AX125="","",quote_currency_symbol)</f>
        <v>$</v>
      </c>
      <c r="BD125" s="725">
        <f t="shared" ref="BD125:BD156" si="280">IF(M8&lt;&gt;"",U8,"")</f>
        <v>18</v>
      </c>
      <c r="BE125" s="726" t="str">
        <f>IF(BF125=0,"",quote_currency_symbol)</f>
        <v/>
      </c>
      <c r="BF125" s="727">
        <f t="shared" ref="BF125:BF156" si="281">IF(M8&lt;&gt;"",W8,"")</f>
        <v>0</v>
      </c>
      <c r="BG125" s="726" t="str">
        <f t="shared" ref="BG125:BG188" si="282">IF(AX125="","",quote_currency_symbol)</f>
        <v>$</v>
      </c>
      <c r="BH125" s="728">
        <f>IF(AND(AX125&lt;&gt;"",AZ125&gt;0),(N(AZ125))*BD125-BF125,"")</f>
        <v>36</v>
      </c>
      <c r="BL125" s="718">
        <f>IF(M8="","",1)</f>
        <v>1</v>
      </c>
      <c r="BM125" s="719" t="str">
        <f t="shared" ref="BM125:BM156" si="283">IF(M8&lt;&gt;"",K8,"")</f>
        <v>KS01</v>
      </c>
      <c r="BN125" s="719"/>
      <c r="BO125" s="719"/>
      <c r="BP125" s="720" t="str">
        <f t="shared" ref="BP125:BP156" si="284">IF(M8&lt;&gt;"",MID(M8,7,200),"")</f>
        <v>អំពូលភ្លើង 75W #KS01</v>
      </c>
      <c r="BQ125" s="721"/>
      <c r="BR125" s="718">
        <f t="shared" ref="BR125:BR156" si="285">IF(N8&gt;0,N8,"")</f>
        <v>2</v>
      </c>
      <c r="BS125" s="718" t="str">
        <f t="shared" ref="BS125:BS156" si="286">IF(O8&lt;&gt;"",O8,"")</f>
        <v/>
      </c>
      <c r="BT125" s="723" t="str">
        <f t="shared" ref="BT125:BT156" si="287">IF(M8&lt;&gt;"",MID(P8,5,100),"")</f>
        <v>Case/6boxs</v>
      </c>
      <c r="BU125" s="724" t="str">
        <f t="shared" ref="BU125:BU188" si="288">IF(BP125="","",quote_currency_symbol)</f>
        <v>$</v>
      </c>
      <c r="BV125" s="729">
        <f t="shared" ref="BV125:BV156" si="289">IF(M8&lt;&gt;"",U8,"")</f>
        <v>18</v>
      </c>
      <c r="BW125" s="730" t="str">
        <f t="shared" ref="BW125:BW188" si="290">IF(BP125="","",quote_currency_symbol)</f>
        <v>$</v>
      </c>
      <c r="BX125" s="730">
        <f t="shared" ref="BX125:BX156" si="291">IF(M8&lt;&gt;"",W8,"")</f>
        <v>0</v>
      </c>
      <c r="BY125" s="731" t="str">
        <f t="shared" ref="BY125:BY188" si="292">IF(BP125="","",quote_currency_symbol)</f>
        <v>$</v>
      </c>
      <c r="BZ125" s="730">
        <f>IF(AND(BP125&lt;&gt;"",BR125&gt;0),(N(BR125))*BV125-BX125,"")</f>
        <v>36</v>
      </c>
    </row>
    <row r="126" spans="46:78" ht="24.95" customHeight="1">
      <c r="AT126" s="488" t="str">
        <f t="shared" ref="AT126:AT157" si="293">IF(M9="","",AT125+1)</f>
        <v/>
      </c>
      <c r="AU126" s="732" t="str">
        <f t="shared" si="274"/>
        <v/>
      </c>
      <c r="AV126" s="732"/>
      <c r="AW126" s="487"/>
      <c r="AX126" s="720" t="str">
        <f t="shared" si="275"/>
        <v/>
      </c>
      <c r="AY126" s="700"/>
      <c r="AZ126" s="733" t="str">
        <f t="shared" si="276"/>
        <v/>
      </c>
      <c r="BA126" s="733" t="str">
        <f t="shared" si="277"/>
        <v/>
      </c>
      <c r="BB126" s="723" t="str">
        <f t="shared" si="278"/>
        <v/>
      </c>
      <c r="BC126" s="734" t="str">
        <f t="shared" si="279"/>
        <v/>
      </c>
      <c r="BD126" s="727" t="str">
        <f t="shared" si="280"/>
        <v/>
      </c>
      <c r="BE126" s="735" t="str">
        <f t="shared" ref="BE126:BE189" si="294">IF(AX126="","",quote_currency_symbol)</f>
        <v/>
      </c>
      <c r="BF126" s="727" t="str">
        <f t="shared" si="281"/>
        <v/>
      </c>
      <c r="BG126" s="735" t="str">
        <f t="shared" si="282"/>
        <v/>
      </c>
      <c r="BH126" s="728" t="str">
        <f t="shared" ref="BH126:BH189" si="295">IF(AND(AX126&lt;&gt;"",AZ126&gt;0),(N(AZ126))*BD126-BF126,"")</f>
        <v/>
      </c>
      <c r="BL126" s="732" t="str">
        <f t="shared" ref="BL126:BL157" si="296">IF(M9="","",BL125+1)</f>
        <v/>
      </c>
      <c r="BM126" s="487" t="str">
        <f t="shared" si="283"/>
        <v/>
      </c>
      <c r="BN126" s="487"/>
      <c r="BO126" s="487"/>
      <c r="BP126" s="720" t="str">
        <f t="shared" si="284"/>
        <v/>
      </c>
      <c r="BQ126" s="700"/>
      <c r="BR126" s="732" t="str">
        <f t="shared" si="285"/>
        <v/>
      </c>
      <c r="BS126" s="732" t="str">
        <f t="shared" si="286"/>
        <v/>
      </c>
      <c r="BT126" s="723" t="str">
        <f t="shared" si="287"/>
        <v/>
      </c>
      <c r="BU126" s="734" t="str">
        <f t="shared" si="288"/>
        <v/>
      </c>
      <c r="BV126" s="736" t="str">
        <f t="shared" si="289"/>
        <v/>
      </c>
      <c r="BW126" s="737" t="str">
        <f t="shared" si="290"/>
        <v/>
      </c>
      <c r="BX126" s="737" t="str">
        <f t="shared" si="291"/>
        <v/>
      </c>
      <c r="BY126" s="738" t="str">
        <f t="shared" si="292"/>
        <v/>
      </c>
      <c r="BZ126" s="730" t="str">
        <f t="shared" ref="BZ126:BZ189" si="297">IF(AND(BP126&lt;&gt;"",BR126&gt;0),(N(BR126))*BV126-BX126,"")</f>
        <v/>
      </c>
    </row>
    <row r="127" spans="46:78" ht="24.95" customHeight="1">
      <c r="AT127" s="488" t="str">
        <f t="shared" si="293"/>
        <v/>
      </c>
      <c r="AU127" s="732" t="str">
        <f t="shared" si="274"/>
        <v/>
      </c>
      <c r="AV127" s="732"/>
      <c r="AW127" s="487"/>
      <c r="AX127" s="720" t="str">
        <f t="shared" si="275"/>
        <v/>
      </c>
      <c r="AY127" s="700"/>
      <c r="AZ127" s="733" t="str">
        <f t="shared" si="276"/>
        <v/>
      </c>
      <c r="BA127" s="733" t="str">
        <f t="shared" si="277"/>
        <v/>
      </c>
      <c r="BB127" s="723" t="str">
        <f t="shared" si="278"/>
        <v/>
      </c>
      <c r="BC127" s="734" t="str">
        <f t="shared" si="279"/>
        <v/>
      </c>
      <c r="BD127" s="727" t="str">
        <f t="shared" si="280"/>
        <v/>
      </c>
      <c r="BE127" s="735" t="str">
        <f t="shared" si="294"/>
        <v/>
      </c>
      <c r="BF127" s="727" t="str">
        <f t="shared" si="281"/>
        <v/>
      </c>
      <c r="BG127" s="735" t="str">
        <f t="shared" si="282"/>
        <v/>
      </c>
      <c r="BH127" s="728" t="str">
        <f t="shared" si="295"/>
        <v/>
      </c>
      <c r="BL127" s="732" t="str">
        <f t="shared" si="296"/>
        <v/>
      </c>
      <c r="BM127" s="487" t="str">
        <f t="shared" si="283"/>
        <v/>
      </c>
      <c r="BN127" s="487"/>
      <c r="BO127" s="487"/>
      <c r="BP127" s="720" t="str">
        <f t="shared" si="284"/>
        <v/>
      </c>
      <c r="BQ127" s="700"/>
      <c r="BR127" s="732" t="str">
        <f t="shared" si="285"/>
        <v/>
      </c>
      <c r="BS127" s="732" t="str">
        <f t="shared" si="286"/>
        <v/>
      </c>
      <c r="BT127" s="723" t="str">
        <f t="shared" si="287"/>
        <v/>
      </c>
      <c r="BU127" s="734" t="str">
        <f t="shared" si="288"/>
        <v/>
      </c>
      <c r="BV127" s="736" t="str">
        <f t="shared" si="289"/>
        <v/>
      </c>
      <c r="BW127" s="737" t="str">
        <f t="shared" si="290"/>
        <v/>
      </c>
      <c r="BX127" s="737" t="str">
        <f t="shared" si="291"/>
        <v/>
      </c>
      <c r="BY127" s="738" t="str">
        <f t="shared" si="292"/>
        <v/>
      </c>
      <c r="BZ127" s="730" t="str">
        <f t="shared" si="297"/>
        <v/>
      </c>
    </row>
    <row r="128" spans="46:78" ht="24.95" customHeight="1">
      <c r="AT128" s="488" t="str">
        <f t="shared" si="293"/>
        <v/>
      </c>
      <c r="AU128" s="732" t="str">
        <f t="shared" si="274"/>
        <v/>
      </c>
      <c r="AV128" s="732"/>
      <c r="AW128" s="487"/>
      <c r="AX128" s="720" t="str">
        <f t="shared" si="275"/>
        <v/>
      </c>
      <c r="AY128" s="700"/>
      <c r="AZ128" s="733" t="str">
        <f t="shared" si="276"/>
        <v/>
      </c>
      <c r="BA128" s="733" t="str">
        <f t="shared" si="277"/>
        <v/>
      </c>
      <c r="BB128" s="723" t="str">
        <f t="shared" si="278"/>
        <v/>
      </c>
      <c r="BC128" s="734" t="str">
        <f t="shared" si="279"/>
        <v/>
      </c>
      <c r="BD128" s="727" t="str">
        <f t="shared" si="280"/>
        <v/>
      </c>
      <c r="BE128" s="735" t="str">
        <f t="shared" si="294"/>
        <v/>
      </c>
      <c r="BF128" s="727" t="str">
        <f t="shared" si="281"/>
        <v/>
      </c>
      <c r="BG128" s="735" t="str">
        <f t="shared" si="282"/>
        <v/>
      </c>
      <c r="BH128" s="728" t="str">
        <f t="shared" si="295"/>
        <v/>
      </c>
      <c r="BL128" s="732" t="str">
        <f t="shared" si="296"/>
        <v/>
      </c>
      <c r="BM128" s="487" t="str">
        <f t="shared" si="283"/>
        <v/>
      </c>
      <c r="BN128" s="487"/>
      <c r="BO128" s="487"/>
      <c r="BP128" s="720" t="str">
        <f t="shared" si="284"/>
        <v/>
      </c>
      <c r="BQ128" s="700"/>
      <c r="BR128" s="732" t="str">
        <f t="shared" si="285"/>
        <v/>
      </c>
      <c r="BS128" s="732" t="str">
        <f t="shared" si="286"/>
        <v/>
      </c>
      <c r="BT128" s="723" t="str">
        <f t="shared" si="287"/>
        <v/>
      </c>
      <c r="BU128" s="734" t="str">
        <f t="shared" si="288"/>
        <v/>
      </c>
      <c r="BV128" s="736" t="str">
        <f t="shared" si="289"/>
        <v/>
      </c>
      <c r="BW128" s="737" t="str">
        <f t="shared" si="290"/>
        <v/>
      </c>
      <c r="BX128" s="737" t="str">
        <f t="shared" si="291"/>
        <v/>
      </c>
      <c r="BY128" s="738" t="str">
        <f t="shared" si="292"/>
        <v/>
      </c>
      <c r="BZ128" s="730" t="str">
        <f t="shared" si="297"/>
        <v/>
      </c>
    </row>
    <row r="129" spans="46:78" ht="24.95" customHeight="1">
      <c r="AT129" s="488" t="str">
        <f t="shared" si="293"/>
        <v/>
      </c>
      <c r="AU129" s="732" t="str">
        <f t="shared" si="274"/>
        <v/>
      </c>
      <c r="AV129" s="732"/>
      <c r="AW129" s="487"/>
      <c r="AX129" s="720" t="str">
        <f t="shared" si="275"/>
        <v/>
      </c>
      <c r="AY129" s="700"/>
      <c r="AZ129" s="733" t="str">
        <f t="shared" si="276"/>
        <v/>
      </c>
      <c r="BA129" s="733" t="str">
        <f t="shared" si="277"/>
        <v/>
      </c>
      <c r="BB129" s="723" t="str">
        <f t="shared" si="278"/>
        <v/>
      </c>
      <c r="BC129" s="734" t="str">
        <f t="shared" si="279"/>
        <v/>
      </c>
      <c r="BD129" s="727" t="str">
        <f t="shared" si="280"/>
        <v/>
      </c>
      <c r="BE129" s="735" t="str">
        <f t="shared" si="294"/>
        <v/>
      </c>
      <c r="BF129" s="727" t="str">
        <f t="shared" si="281"/>
        <v/>
      </c>
      <c r="BG129" s="735" t="str">
        <f t="shared" si="282"/>
        <v/>
      </c>
      <c r="BH129" s="728" t="str">
        <f t="shared" si="295"/>
        <v/>
      </c>
      <c r="BL129" s="732" t="str">
        <f t="shared" si="296"/>
        <v/>
      </c>
      <c r="BM129" s="487" t="str">
        <f t="shared" si="283"/>
        <v/>
      </c>
      <c r="BN129" s="487"/>
      <c r="BO129" s="487"/>
      <c r="BP129" s="720" t="str">
        <f t="shared" si="284"/>
        <v/>
      </c>
      <c r="BQ129" s="700"/>
      <c r="BR129" s="732" t="str">
        <f t="shared" si="285"/>
        <v/>
      </c>
      <c r="BS129" s="732" t="str">
        <f t="shared" si="286"/>
        <v/>
      </c>
      <c r="BT129" s="723" t="str">
        <f t="shared" si="287"/>
        <v/>
      </c>
      <c r="BU129" s="734" t="str">
        <f t="shared" si="288"/>
        <v/>
      </c>
      <c r="BV129" s="736" t="str">
        <f t="shared" si="289"/>
        <v/>
      </c>
      <c r="BW129" s="737" t="str">
        <f t="shared" si="290"/>
        <v/>
      </c>
      <c r="BX129" s="737" t="str">
        <f t="shared" si="291"/>
        <v/>
      </c>
      <c r="BY129" s="738" t="str">
        <f t="shared" si="292"/>
        <v/>
      </c>
      <c r="BZ129" s="730" t="str">
        <f t="shared" si="297"/>
        <v/>
      </c>
    </row>
    <row r="130" spans="46:78" ht="24.95" customHeight="1">
      <c r="AT130" s="488" t="str">
        <f t="shared" si="293"/>
        <v/>
      </c>
      <c r="AU130" s="732" t="str">
        <f t="shared" si="274"/>
        <v/>
      </c>
      <c r="AV130" s="732"/>
      <c r="AW130" s="487"/>
      <c r="AX130" s="720" t="str">
        <f t="shared" si="275"/>
        <v/>
      </c>
      <c r="AY130" s="700"/>
      <c r="AZ130" s="733" t="str">
        <f t="shared" si="276"/>
        <v/>
      </c>
      <c r="BA130" s="733" t="str">
        <f t="shared" si="277"/>
        <v/>
      </c>
      <c r="BB130" s="723" t="str">
        <f t="shared" si="278"/>
        <v/>
      </c>
      <c r="BC130" s="734" t="str">
        <f t="shared" si="279"/>
        <v/>
      </c>
      <c r="BD130" s="727" t="str">
        <f t="shared" si="280"/>
        <v/>
      </c>
      <c r="BE130" s="735" t="str">
        <f t="shared" si="294"/>
        <v/>
      </c>
      <c r="BF130" s="727" t="str">
        <f t="shared" si="281"/>
        <v/>
      </c>
      <c r="BG130" s="735" t="str">
        <f t="shared" si="282"/>
        <v/>
      </c>
      <c r="BH130" s="728" t="str">
        <f t="shared" si="295"/>
        <v/>
      </c>
      <c r="BL130" s="732" t="str">
        <f t="shared" si="296"/>
        <v/>
      </c>
      <c r="BM130" s="487" t="str">
        <f t="shared" si="283"/>
        <v/>
      </c>
      <c r="BN130" s="487"/>
      <c r="BO130" s="487"/>
      <c r="BP130" s="720" t="str">
        <f t="shared" si="284"/>
        <v/>
      </c>
      <c r="BQ130" s="700"/>
      <c r="BR130" s="732" t="str">
        <f t="shared" si="285"/>
        <v/>
      </c>
      <c r="BS130" s="732" t="str">
        <f t="shared" si="286"/>
        <v/>
      </c>
      <c r="BT130" s="723" t="str">
        <f t="shared" si="287"/>
        <v/>
      </c>
      <c r="BU130" s="734" t="str">
        <f t="shared" si="288"/>
        <v/>
      </c>
      <c r="BV130" s="736" t="str">
        <f t="shared" si="289"/>
        <v/>
      </c>
      <c r="BW130" s="737" t="str">
        <f t="shared" si="290"/>
        <v/>
      </c>
      <c r="BX130" s="737" t="str">
        <f t="shared" si="291"/>
        <v/>
      </c>
      <c r="BY130" s="738" t="str">
        <f t="shared" si="292"/>
        <v/>
      </c>
      <c r="BZ130" s="730" t="str">
        <f t="shared" si="297"/>
        <v/>
      </c>
    </row>
    <row r="131" spans="46:78" ht="24.95" customHeight="1">
      <c r="AT131" s="488" t="str">
        <f t="shared" si="293"/>
        <v/>
      </c>
      <c r="AU131" s="732" t="str">
        <f t="shared" si="274"/>
        <v/>
      </c>
      <c r="AV131" s="732"/>
      <c r="AW131" s="487"/>
      <c r="AX131" s="720" t="str">
        <f t="shared" si="275"/>
        <v/>
      </c>
      <c r="AY131" s="700"/>
      <c r="AZ131" s="733" t="str">
        <f t="shared" si="276"/>
        <v/>
      </c>
      <c r="BA131" s="733" t="str">
        <f t="shared" si="277"/>
        <v/>
      </c>
      <c r="BB131" s="723" t="str">
        <f t="shared" si="278"/>
        <v/>
      </c>
      <c r="BC131" s="734" t="str">
        <f t="shared" si="279"/>
        <v/>
      </c>
      <c r="BD131" s="727" t="str">
        <f t="shared" si="280"/>
        <v/>
      </c>
      <c r="BE131" s="735" t="str">
        <f t="shared" si="294"/>
        <v/>
      </c>
      <c r="BF131" s="727" t="str">
        <f t="shared" si="281"/>
        <v/>
      </c>
      <c r="BG131" s="735" t="str">
        <f t="shared" si="282"/>
        <v/>
      </c>
      <c r="BH131" s="728" t="str">
        <f t="shared" si="295"/>
        <v/>
      </c>
      <c r="BL131" s="732" t="str">
        <f t="shared" si="296"/>
        <v/>
      </c>
      <c r="BM131" s="487" t="str">
        <f t="shared" si="283"/>
        <v/>
      </c>
      <c r="BN131" s="487"/>
      <c r="BO131" s="487"/>
      <c r="BP131" s="720" t="str">
        <f t="shared" si="284"/>
        <v/>
      </c>
      <c r="BQ131" s="700"/>
      <c r="BR131" s="732" t="str">
        <f t="shared" si="285"/>
        <v/>
      </c>
      <c r="BS131" s="732" t="str">
        <f t="shared" si="286"/>
        <v/>
      </c>
      <c r="BT131" s="723" t="str">
        <f t="shared" si="287"/>
        <v/>
      </c>
      <c r="BU131" s="734" t="str">
        <f t="shared" si="288"/>
        <v/>
      </c>
      <c r="BV131" s="736" t="str">
        <f t="shared" si="289"/>
        <v/>
      </c>
      <c r="BW131" s="737" t="str">
        <f t="shared" si="290"/>
        <v/>
      </c>
      <c r="BX131" s="737" t="str">
        <f t="shared" si="291"/>
        <v/>
      </c>
      <c r="BY131" s="738" t="str">
        <f t="shared" si="292"/>
        <v/>
      </c>
      <c r="BZ131" s="730" t="str">
        <f t="shared" si="297"/>
        <v/>
      </c>
    </row>
    <row r="132" spans="46:78" ht="24.95" customHeight="1">
      <c r="AT132" s="488" t="str">
        <f t="shared" si="293"/>
        <v/>
      </c>
      <c r="AU132" s="732" t="str">
        <f t="shared" si="274"/>
        <v/>
      </c>
      <c r="AV132" s="732"/>
      <c r="AW132" s="487"/>
      <c r="AX132" s="720" t="str">
        <f t="shared" si="275"/>
        <v/>
      </c>
      <c r="AY132" s="700"/>
      <c r="AZ132" s="733" t="str">
        <f t="shared" si="276"/>
        <v/>
      </c>
      <c r="BA132" s="733" t="str">
        <f t="shared" si="277"/>
        <v/>
      </c>
      <c r="BB132" s="723" t="str">
        <f t="shared" si="278"/>
        <v/>
      </c>
      <c r="BC132" s="734" t="str">
        <f t="shared" si="279"/>
        <v/>
      </c>
      <c r="BD132" s="727" t="str">
        <f t="shared" si="280"/>
        <v/>
      </c>
      <c r="BE132" s="735" t="str">
        <f t="shared" si="294"/>
        <v/>
      </c>
      <c r="BF132" s="727" t="str">
        <f t="shared" si="281"/>
        <v/>
      </c>
      <c r="BG132" s="735" t="str">
        <f t="shared" si="282"/>
        <v/>
      </c>
      <c r="BH132" s="728" t="str">
        <f t="shared" si="295"/>
        <v/>
      </c>
      <c r="BL132" s="732" t="str">
        <f t="shared" si="296"/>
        <v/>
      </c>
      <c r="BM132" s="487" t="str">
        <f t="shared" si="283"/>
        <v/>
      </c>
      <c r="BN132" s="487"/>
      <c r="BO132" s="487"/>
      <c r="BP132" s="720" t="str">
        <f t="shared" si="284"/>
        <v/>
      </c>
      <c r="BQ132" s="700"/>
      <c r="BR132" s="732" t="str">
        <f t="shared" si="285"/>
        <v/>
      </c>
      <c r="BS132" s="732" t="str">
        <f t="shared" si="286"/>
        <v/>
      </c>
      <c r="BT132" s="723" t="str">
        <f t="shared" si="287"/>
        <v/>
      </c>
      <c r="BU132" s="734" t="str">
        <f t="shared" si="288"/>
        <v/>
      </c>
      <c r="BV132" s="736" t="str">
        <f t="shared" si="289"/>
        <v/>
      </c>
      <c r="BW132" s="737" t="str">
        <f t="shared" si="290"/>
        <v/>
      </c>
      <c r="BX132" s="737" t="str">
        <f t="shared" si="291"/>
        <v/>
      </c>
      <c r="BY132" s="738" t="str">
        <f t="shared" si="292"/>
        <v/>
      </c>
      <c r="BZ132" s="730" t="str">
        <f t="shared" si="297"/>
        <v/>
      </c>
    </row>
    <row r="133" spans="46:78" ht="24.95" customHeight="1">
      <c r="AT133" s="488" t="str">
        <f t="shared" si="293"/>
        <v/>
      </c>
      <c r="AU133" s="732" t="str">
        <f t="shared" si="274"/>
        <v/>
      </c>
      <c r="AV133" s="732"/>
      <c r="AW133" s="487"/>
      <c r="AX133" s="720" t="str">
        <f t="shared" si="275"/>
        <v/>
      </c>
      <c r="AY133" s="700"/>
      <c r="AZ133" s="733" t="str">
        <f t="shared" si="276"/>
        <v/>
      </c>
      <c r="BA133" s="733" t="str">
        <f t="shared" si="277"/>
        <v/>
      </c>
      <c r="BB133" s="723" t="str">
        <f t="shared" si="278"/>
        <v/>
      </c>
      <c r="BC133" s="734" t="str">
        <f t="shared" si="279"/>
        <v/>
      </c>
      <c r="BD133" s="727" t="str">
        <f t="shared" si="280"/>
        <v/>
      </c>
      <c r="BE133" s="735" t="str">
        <f t="shared" si="294"/>
        <v/>
      </c>
      <c r="BF133" s="727" t="str">
        <f t="shared" si="281"/>
        <v/>
      </c>
      <c r="BG133" s="735" t="str">
        <f t="shared" si="282"/>
        <v/>
      </c>
      <c r="BH133" s="728" t="str">
        <f t="shared" si="295"/>
        <v/>
      </c>
      <c r="BL133" s="732" t="str">
        <f t="shared" si="296"/>
        <v/>
      </c>
      <c r="BM133" s="487" t="str">
        <f t="shared" si="283"/>
        <v/>
      </c>
      <c r="BN133" s="487"/>
      <c r="BO133" s="487"/>
      <c r="BP133" s="720" t="str">
        <f t="shared" si="284"/>
        <v/>
      </c>
      <c r="BQ133" s="700"/>
      <c r="BR133" s="732" t="str">
        <f t="shared" si="285"/>
        <v/>
      </c>
      <c r="BS133" s="732" t="str">
        <f t="shared" si="286"/>
        <v/>
      </c>
      <c r="BT133" s="723" t="str">
        <f t="shared" si="287"/>
        <v/>
      </c>
      <c r="BU133" s="734" t="str">
        <f t="shared" si="288"/>
        <v/>
      </c>
      <c r="BV133" s="736" t="str">
        <f t="shared" si="289"/>
        <v/>
      </c>
      <c r="BW133" s="737" t="str">
        <f t="shared" si="290"/>
        <v/>
      </c>
      <c r="BX133" s="737" t="str">
        <f t="shared" si="291"/>
        <v/>
      </c>
      <c r="BY133" s="738" t="str">
        <f t="shared" si="292"/>
        <v/>
      </c>
      <c r="BZ133" s="730" t="str">
        <f t="shared" si="297"/>
        <v/>
      </c>
    </row>
    <row r="134" spans="46:78" ht="24.95" customHeight="1">
      <c r="AT134" s="488" t="str">
        <f t="shared" si="293"/>
        <v/>
      </c>
      <c r="AU134" s="732" t="str">
        <f t="shared" si="274"/>
        <v/>
      </c>
      <c r="AV134" s="732"/>
      <c r="AW134" s="487"/>
      <c r="AX134" s="720" t="str">
        <f t="shared" si="275"/>
        <v/>
      </c>
      <c r="AY134" s="700"/>
      <c r="AZ134" s="733" t="str">
        <f t="shared" si="276"/>
        <v/>
      </c>
      <c r="BA134" s="733" t="str">
        <f t="shared" si="277"/>
        <v/>
      </c>
      <c r="BB134" s="723" t="str">
        <f t="shared" si="278"/>
        <v/>
      </c>
      <c r="BC134" s="734" t="str">
        <f t="shared" si="279"/>
        <v/>
      </c>
      <c r="BD134" s="727" t="str">
        <f t="shared" si="280"/>
        <v/>
      </c>
      <c r="BE134" s="735" t="str">
        <f t="shared" si="294"/>
        <v/>
      </c>
      <c r="BF134" s="727" t="str">
        <f t="shared" si="281"/>
        <v/>
      </c>
      <c r="BG134" s="735" t="str">
        <f t="shared" si="282"/>
        <v/>
      </c>
      <c r="BH134" s="728" t="str">
        <f t="shared" si="295"/>
        <v/>
      </c>
      <c r="BL134" s="732" t="str">
        <f t="shared" si="296"/>
        <v/>
      </c>
      <c r="BM134" s="487" t="str">
        <f t="shared" si="283"/>
        <v/>
      </c>
      <c r="BN134" s="487"/>
      <c r="BO134" s="487"/>
      <c r="BP134" s="720" t="str">
        <f t="shared" si="284"/>
        <v/>
      </c>
      <c r="BQ134" s="700"/>
      <c r="BR134" s="732" t="str">
        <f t="shared" si="285"/>
        <v/>
      </c>
      <c r="BS134" s="732" t="str">
        <f t="shared" si="286"/>
        <v/>
      </c>
      <c r="BT134" s="723" t="str">
        <f t="shared" si="287"/>
        <v/>
      </c>
      <c r="BU134" s="734" t="str">
        <f t="shared" si="288"/>
        <v/>
      </c>
      <c r="BV134" s="736" t="str">
        <f t="shared" si="289"/>
        <v/>
      </c>
      <c r="BW134" s="737" t="str">
        <f t="shared" si="290"/>
        <v/>
      </c>
      <c r="BX134" s="737" t="str">
        <f t="shared" si="291"/>
        <v/>
      </c>
      <c r="BY134" s="738" t="str">
        <f t="shared" si="292"/>
        <v/>
      </c>
      <c r="BZ134" s="730" t="str">
        <f t="shared" si="297"/>
        <v/>
      </c>
    </row>
    <row r="135" spans="46:78" ht="24.95" customHeight="1">
      <c r="AT135" s="488" t="str">
        <f t="shared" si="293"/>
        <v/>
      </c>
      <c r="AU135" s="732" t="str">
        <f t="shared" si="274"/>
        <v/>
      </c>
      <c r="AV135" s="732"/>
      <c r="AW135" s="487"/>
      <c r="AX135" s="720" t="str">
        <f t="shared" si="275"/>
        <v/>
      </c>
      <c r="AY135" s="700"/>
      <c r="AZ135" s="733" t="str">
        <f t="shared" si="276"/>
        <v/>
      </c>
      <c r="BA135" s="733" t="str">
        <f t="shared" si="277"/>
        <v/>
      </c>
      <c r="BB135" s="723" t="str">
        <f t="shared" si="278"/>
        <v/>
      </c>
      <c r="BC135" s="734" t="str">
        <f t="shared" si="279"/>
        <v/>
      </c>
      <c r="BD135" s="727" t="str">
        <f t="shared" si="280"/>
        <v/>
      </c>
      <c r="BE135" s="735" t="str">
        <f t="shared" si="294"/>
        <v/>
      </c>
      <c r="BF135" s="727" t="str">
        <f t="shared" si="281"/>
        <v/>
      </c>
      <c r="BG135" s="735" t="str">
        <f t="shared" si="282"/>
        <v/>
      </c>
      <c r="BH135" s="728" t="str">
        <f t="shared" si="295"/>
        <v/>
      </c>
      <c r="BL135" s="732" t="str">
        <f t="shared" si="296"/>
        <v/>
      </c>
      <c r="BM135" s="487" t="str">
        <f t="shared" si="283"/>
        <v/>
      </c>
      <c r="BN135" s="487"/>
      <c r="BO135" s="487"/>
      <c r="BP135" s="720" t="str">
        <f t="shared" si="284"/>
        <v/>
      </c>
      <c r="BQ135" s="700"/>
      <c r="BR135" s="732" t="str">
        <f t="shared" si="285"/>
        <v/>
      </c>
      <c r="BS135" s="732" t="str">
        <f t="shared" si="286"/>
        <v/>
      </c>
      <c r="BT135" s="723" t="str">
        <f t="shared" si="287"/>
        <v/>
      </c>
      <c r="BU135" s="734" t="str">
        <f t="shared" si="288"/>
        <v/>
      </c>
      <c r="BV135" s="736" t="str">
        <f t="shared" si="289"/>
        <v/>
      </c>
      <c r="BW135" s="737" t="str">
        <f t="shared" si="290"/>
        <v/>
      </c>
      <c r="BX135" s="737" t="str">
        <f t="shared" si="291"/>
        <v/>
      </c>
      <c r="BY135" s="738" t="str">
        <f t="shared" si="292"/>
        <v/>
      </c>
      <c r="BZ135" s="730" t="str">
        <f t="shared" si="297"/>
        <v/>
      </c>
    </row>
    <row r="136" spans="46:78" ht="24.95" customHeight="1">
      <c r="AT136" s="488" t="str">
        <f t="shared" si="293"/>
        <v/>
      </c>
      <c r="AU136" s="732" t="str">
        <f t="shared" si="274"/>
        <v/>
      </c>
      <c r="AV136" s="732"/>
      <c r="AW136" s="487"/>
      <c r="AX136" s="720" t="str">
        <f t="shared" si="275"/>
        <v/>
      </c>
      <c r="AY136" s="700"/>
      <c r="AZ136" s="733" t="str">
        <f t="shared" si="276"/>
        <v/>
      </c>
      <c r="BA136" s="733" t="str">
        <f t="shared" si="277"/>
        <v/>
      </c>
      <c r="BB136" s="723" t="str">
        <f t="shared" si="278"/>
        <v/>
      </c>
      <c r="BC136" s="734" t="str">
        <f t="shared" si="279"/>
        <v/>
      </c>
      <c r="BD136" s="727" t="str">
        <f t="shared" si="280"/>
        <v/>
      </c>
      <c r="BE136" s="735" t="str">
        <f t="shared" si="294"/>
        <v/>
      </c>
      <c r="BF136" s="727" t="str">
        <f t="shared" si="281"/>
        <v/>
      </c>
      <c r="BG136" s="735" t="str">
        <f t="shared" si="282"/>
        <v/>
      </c>
      <c r="BH136" s="728" t="str">
        <f t="shared" si="295"/>
        <v/>
      </c>
      <c r="BL136" s="732" t="str">
        <f t="shared" si="296"/>
        <v/>
      </c>
      <c r="BM136" s="487" t="str">
        <f t="shared" si="283"/>
        <v/>
      </c>
      <c r="BN136" s="487"/>
      <c r="BO136" s="487"/>
      <c r="BP136" s="720" t="str">
        <f t="shared" si="284"/>
        <v/>
      </c>
      <c r="BQ136" s="700"/>
      <c r="BR136" s="732" t="str">
        <f t="shared" si="285"/>
        <v/>
      </c>
      <c r="BS136" s="732" t="str">
        <f t="shared" si="286"/>
        <v/>
      </c>
      <c r="BT136" s="723" t="str">
        <f t="shared" si="287"/>
        <v/>
      </c>
      <c r="BU136" s="734" t="str">
        <f t="shared" si="288"/>
        <v/>
      </c>
      <c r="BV136" s="736" t="str">
        <f t="shared" si="289"/>
        <v/>
      </c>
      <c r="BW136" s="737" t="str">
        <f t="shared" si="290"/>
        <v/>
      </c>
      <c r="BX136" s="737" t="str">
        <f t="shared" si="291"/>
        <v/>
      </c>
      <c r="BY136" s="738" t="str">
        <f t="shared" si="292"/>
        <v/>
      </c>
      <c r="BZ136" s="730" t="str">
        <f t="shared" si="297"/>
        <v/>
      </c>
    </row>
    <row r="137" spans="46:78" ht="24.95" customHeight="1">
      <c r="AT137" s="488" t="str">
        <f t="shared" si="293"/>
        <v/>
      </c>
      <c r="AU137" s="732" t="str">
        <f t="shared" si="274"/>
        <v/>
      </c>
      <c r="AV137" s="732"/>
      <c r="AW137" s="487"/>
      <c r="AX137" s="720" t="str">
        <f t="shared" si="275"/>
        <v/>
      </c>
      <c r="AY137" s="700"/>
      <c r="AZ137" s="733" t="str">
        <f t="shared" si="276"/>
        <v/>
      </c>
      <c r="BA137" s="733" t="str">
        <f t="shared" si="277"/>
        <v/>
      </c>
      <c r="BB137" s="723" t="str">
        <f t="shared" si="278"/>
        <v/>
      </c>
      <c r="BC137" s="734" t="str">
        <f t="shared" si="279"/>
        <v/>
      </c>
      <c r="BD137" s="727" t="str">
        <f t="shared" si="280"/>
        <v/>
      </c>
      <c r="BE137" s="735" t="str">
        <f t="shared" si="294"/>
        <v/>
      </c>
      <c r="BF137" s="727" t="str">
        <f t="shared" si="281"/>
        <v/>
      </c>
      <c r="BG137" s="735" t="str">
        <f t="shared" si="282"/>
        <v/>
      </c>
      <c r="BH137" s="728" t="str">
        <f t="shared" si="295"/>
        <v/>
      </c>
      <c r="BL137" s="732" t="str">
        <f t="shared" si="296"/>
        <v/>
      </c>
      <c r="BM137" s="487" t="str">
        <f t="shared" si="283"/>
        <v/>
      </c>
      <c r="BN137" s="487"/>
      <c r="BO137" s="487"/>
      <c r="BP137" s="720" t="str">
        <f t="shared" si="284"/>
        <v/>
      </c>
      <c r="BQ137" s="700"/>
      <c r="BR137" s="732" t="str">
        <f t="shared" si="285"/>
        <v/>
      </c>
      <c r="BS137" s="732" t="str">
        <f t="shared" si="286"/>
        <v/>
      </c>
      <c r="BT137" s="723" t="str">
        <f t="shared" si="287"/>
        <v/>
      </c>
      <c r="BU137" s="734" t="str">
        <f t="shared" si="288"/>
        <v/>
      </c>
      <c r="BV137" s="736" t="str">
        <f t="shared" si="289"/>
        <v/>
      </c>
      <c r="BW137" s="737" t="str">
        <f t="shared" si="290"/>
        <v/>
      </c>
      <c r="BX137" s="737" t="str">
        <f t="shared" si="291"/>
        <v/>
      </c>
      <c r="BY137" s="738" t="str">
        <f t="shared" si="292"/>
        <v/>
      </c>
      <c r="BZ137" s="730" t="str">
        <f t="shared" si="297"/>
        <v/>
      </c>
    </row>
    <row r="138" spans="46:78" ht="24.95" customHeight="1">
      <c r="AT138" s="488" t="str">
        <f t="shared" si="293"/>
        <v/>
      </c>
      <c r="AU138" s="732" t="str">
        <f t="shared" si="274"/>
        <v/>
      </c>
      <c r="AV138" s="732"/>
      <c r="AW138" s="487"/>
      <c r="AX138" s="720" t="str">
        <f t="shared" si="275"/>
        <v/>
      </c>
      <c r="AY138" s="700"/>
      <c r="AZ138" s="733" t="str">
        <f t="shared" si="276"/>
        <v/>
      </c>
      <c r="BA138" s="733" t="str">
        <f t="shared" si="277"/>
        <v/>
      </c>
      <c r="BB138" s="723" t="str">
        <f t="shared" si="278"/>
        <v/>
      </c>
      <c r="BC138" s="734" t="str">
        <f t="shared" si="279"/>
        <v/>
      </c>
      <c r="BD138" s="727" t="str">
        <f t="shared" si="280"/>
        <v/>
      </c>
      <c r="BE138" s="735" t="str">
        <f t="shared" si="294"/>
        <v/>
      </c>
      <c r="BF138" s="727" t="str">
        <f t="shared" si="281"/>
        <v/>
      </c>
      <c r="BG138" s="735" t="str">
        <f t="shared" si="282"/>
        <v/>
      </c>
      <c r="BH138" s="728" t="str">
        <f t="shared" si="295"/>
        <v/>
      </c>
      <c r="BL138" s="732" t="str">
        <f t="shared" si="296"/>
        <v/>
      </c>
      <c r="BM138" s="487" t="str">
        <f t="shared" si="283"/>
        <v/>
      </c>
      <c r="BN138" s="487"/>
      <c r="BO138" s="487"/>
      <c r="BP138" s="720" t="str">
        <f t="shared" si="284"/>
        <v/>
      </c>
      <c r="BQ138" s="700"/>
      <c r="BR138" s="732" t="str">
        <f t="shared" si="285"/>
        <v/>
      </c>
      <c r="BS138" s="732" t="str">
        <f t="shared" si="286"/>
        <v/>
      </c>
      <c r="BT138" s="723" t="str">
        <f t="shared" si="287"/>
        <v/>
      </c>
      <c r="BU138" s="734" t="str">
        <f t="shared" si="288"/>
        <v/>
      </c>
      <c r="BV138" s="736" t="str">
        <f t="shared" si="289"/>
        <v/>
      </c>
      <c r="BW138" s="737" t="str">
        <f t="shared" si="290"/>
        <v/>
      </c>
      <c r="BX138" s="737" t="str">
        <f t="shared" si="291"/>
        <v/>
      </c>
      <c r="BY138" s="738" t="str">
        <f t="shared" si="292"/>
        <v/>
      </c>
      <c r="BZ138" s="730" t="str">
        <f t="shared" si="297"/>
        <v/>
      </c>
    </row>
    <row r="139" spans="46:78" ht="24.95" hidden="1" customHeight="1">
      <c r="AT139" s="488" t="str">
        <f t="shared" si="293"/>
        <v/>
      </c>
      <c r="AU139" s="732" t="str">
        <f t="shared" si="274"/>
        <v/>
      </c>
      <c r="AV139" s="732"/>
      <c r="AW139" s="487"/>
      <c r="AX139" s="720" t="str">
        <f t="shared" si="275"/>
        <v/>
      </c>
      <c r="AY139" s="700"/>
      <c r="AZ139" s="733" t="str">
        <f t="shared" si="276"/>
        <v/>
      </c>
      <c r="BA139" s="733" t="str">
        <f t="shared" si="277"/>
        <v/>
      </c>
      <c r="BB139" s="723" t="str">
        <f t="shared" si="278"/>
        <v/>
      </c>
      <c r="BC139" s="734" t="str">
        <f t="shared" si="279"/>
        <v/>
      </c>
      <c r="BD139" s="727" t="str">
        <f t="shared" si="280"/>
        <v/>
      </c>
      <c r="BE139" s="735" t="str">
        <f t="shared" si="294"/>
        <v/>
      </c>
      <c r="BF139" s="727" t="str">
        <f t="shared" si="281"/>
        <v/>
      </c>
      <c r="BG139" s="735" t="str">
        <f t="shared" si="282"/>
        <v/>
      </c>
      <c r="BH139" s="728" t="str">
        <f t="shared" si="295"/>
        <v/>
      </c>
      <c r="BL139" s="732" t="str">
        <f t="shared" si="296"/>
        <v/>
      </c>
      <c r="BM139" s="487" t="str">
        <f t="shared" si="283"/>
        <v/>
      </c>
      <c r="BN139" s="487"/>
      <c r="BO139" s="487"/>
      <c r="BP139" s="720" t="str">
        <f t="shared" si="284"/>
        <v/>
      </c>
      <c r="BQ139" s="700"/>
      <c r="BR139" s="732" t="str">
        <f t="shared" si="285"/>
        <v/>
      </c>
      <c r="BS139" s="732" t="str">
        <f t="shared" si="286"/>
        <v/>
      </c>
      <c r="BT139" s="723" t="str">
        <f t="shared" si="287"/>
        <v/>
      </c>
      <c r="BU139" s="734" t="str">
        <f t="shared" si="288"/>
        <v/>
      </c>
      <c r="BV139" s="736" t="str">
        <f t="shared" si="289"/>
        <v/>
      </c>
      <c r="BW139" s="737" t="str">
        <f t="shared" si="290"/>
        <v/>
      </c>
      <c r="BX139" s="737" t="str">
        <f t="shared" si="291"/>
        <v/>
      </c>
      <c r="BY139" s="738" t="str">
        <f t="shared" si="292"/>
        <v/>
      </c>
      <c r="BZ139" s="730" t="str">
        <f t="shared" si="297"/>
        <v/>
      </c>
    </row>
    <row r="140" spans="46:78" ht="24.95" hidden="1" customHeight="1">
      <c r="AT140" s="488" t="str">
        <f t="shared" si="293"/>
        <v/>
      </c>
      <c r="AU140" s="488" t="str">
        <f t="shared" si="274"/>
        <v/>
      </c>
      <c r="AV140" s="488"/>
      <c r="AW140" s="739"/>
      <c r="AX140" s="720" t="str">
        <f t="shared" si="275"/>
        <v/>
      </c>
      <c r="AY140" s="275"/>
      <c r="AZ140" s="489" t="str">
        <f t="shared" si="276"/>
        <v/>
      </c>
      <c r="BA140" s="489" t="str">
        <f t="shared" si="277"/>
        <v/>
      </c>
      <c r="BB140" s="723" t="str">
        <f t="shared" si="278"/>
        <v/>
      </c>
      <c r="BC140" s="741" t="str">
        <f t="shared" si="279"/>
        <v/>
      </c>
      <c r="BD140" s="742" t="str">
        <f t="shared" si="280"/>
        <v/>
      </c>
      <c r="BE140" s="743" t="str">
        <f t="shared" si="294"/>
        <v/>
      </c>
      <c r="BF140" s="742" t="str">
        <f t="shared" si="281"/>
        <v/>
      </c>
      <c r="BG140" s="743" t="str">
        <f t="shared" si="282"/>
        <v/>
      </c>
      <c r="BH140" s="728" t="str">
        <f t="shared" si="295"/>
        <v/>
      </c>
      <c r="BL140" s="732" t="str">
        <f t="shared" si="296"/>
        <v/>
      </c>
      <c r="BM140" s="487" t="str">
        <f t="shared" si="283"/>
        <v/>
      </c>
      <c r="BN140" s="487"/>
      <c r="BO140" s="487"/>
      <c r="BP140" s="720" t="str">
        <f t="shared" si="284"/>
        <v/>
      </c>
      <c r="BQ140" s="700"/>
      <c r="BR140" s="732" t="str">
        <f t="shared" si="285"/>
        <v/>
      </c>
      <c r="BS140" s="732" t="str">
        <f t="shared" si="286"/>
        <v/>
      </c>
      <c r="BT140" s="723" t="str">
        <f t="shared" si="287"/>
        <v/>
      </c>
      <c r="BU140" s="734" t="str">
        <f t="shared" si="288"/>
        <v/>
      </c>
      <c r="BV140" s="736" t="str">
        <f t="shared" si="289"/>
        <v/>
      </c>
      <c r="BW140" s="737" t="str">
        <f t="shared" si="290"/>
        <v/>
      </c>
      <c r="BX140" s="737" t="str">
        <f t="shared" si="291"/>
        <v/>
      </c>
      <c r="BY140" s="738" t="str">
        <f t="shared" si="292"/>
        <v/>
      </c>
      <c r="BZ140" s="730" t="str">
        <f t="shared" si="297"/>
        <v/>
      </c>
    </row>
    <row r="141" spans="46:78" ht="24.95" hidden="1" customHeight="1">
      <c r="AT141" s="488" t="str">
        <f t="shared" si="293"/>
        <v/>
      </c>
      <c r="AU141" s="488" t="str">
        <f t="shared" si="274"/>
        <v/>
      </c>
      <c r="AV141" s="488"/>
      <c r="AW141" s="739"/>
      <c r="AX141" s="720" t="str">
        <f t="shared" si="275"/>
        <v/>
      </c>
      <c r="AY141" s="275"/>
      <c r="AZ141" s="489" t="str">
        <f t="shared" si="276"/>
        <v/>
      </c>
      <c r="BA141" s="489" t="str">
        <f t="shared" si="277"/>
        <v/>
      </c>
      <c r="BB141" s="723" t="str">
        <f t="shared" si="278"/>
        <v/>
      </c>
      <c r="BC141" s="741" t="str">
        <f t="shared" si="279"/>
        <v/>
      </c>
      <c r="BD141" s="742" t="str">
        <f t="shared" si="280"/>
        <v/>
      </c>
      <c r="BE141" s="743" t="str">
        <f t="shared" si="294"/>
        <v/>
      </c>
      <c r="BF141" s="742" t="str">
        <f t="shared" si="281"/>
        <v/>
      </c>
      <c r="BG141" s="743" t="str">
        <f t="shared" si="282"/>
        <v/>
      </c>
      <c r="BH141" s="728" t="str">
        <f t="shared" si="295"/>
        <v/>
      </c>
      <c r="BL141" s="732" t="str">
        <f t="shared" si="296"/>
        <v/>
      </c>
      <c r="BM141" s="487" t="str">
        <f t="shared" si="283"/>
        <v/>
      </c>
      <c r="BN141" s="487"/>
      <c r="BO141" s="487"/>
      <c r="BP141" s="720" t="str">
        <f t="shared" si="284"/>
        <v/>
      </c>
      <c r="BQ141" s="700"/>
      <c r="BR141" s="732" t="str">
        <f t="shared" si="285"/>
        <v/>
      </c>
      <c r="BS141" s="732" t="str">
        <f t="shared" si="286"/>
        <v/>
      </c>
      <c r="BT141" s="723" t="str">
        <f t="shared" si="287"/>
        <v/>
      </c>
      <c r="BU141" s="734" t="str">
        <f t="shared" si="288"/>
        <v/>
      </c>
      <c r="BV141" s="736" t="str">
        <f t="shared" si="289"/>
        <v/>
      </c>
      <c r="BW141" s="737" t="str">
        <f t="shared" si="290"/>
        <v/>
      </c>
      <c r="BX141" s="737" t="str">
        <f t="shared" si="291"/>
        <v/>
      </c>
      <c r="BY141" s="738" t="str">
        <f t="shared" si="292"/>
        <v/>
      </c>
      <c r="BZ141" s="730" t="str">
        <f t="shared" si="297"/>
        <v/>
      </c>
    </row>
    <row r="142" spans="46:78" ht="24.95" hidden="1" customHeight="1">
      <c r="AT142" s="488" t="str">
        <f t="shared" si="293"/>
        <v/>
      </c>
      <c r="AU142" s="488" t="str">
        <f t="shared" si="274"/>
        <v/>
      </c>
      <c r="AV142" s="488"/>
      <c r="AW142" s="739"/>
      <c r="AX142" s="720" t="str">
        <f t="shared" si="275"/>
        <v/>
      </c>
      <c r="AY142" s="275"/>
      <c r="AZ142" s="489" t="str">
        <f t="shared" si="276"/>
        <v/>
      </c>
      <c r="BA142" s="489" t="str">
        <f t="shared" si="277"/>
        <v/>
      </c>
      <c r="BB142" s="723" t="str">
        <f t="shared" si="278"/>
        <v/>
      </c>
      <c r="BC142" s="741" t="str">
        <f t="shared" si="279"/>
        <v/>
      </c>
      <c r="BD142" s="742" t="str">
        <f t="shared" si="280"/>
        <v/>
      </c>
      <c r="BE142" s="743" t="str">
        <f t="shared" si="294"/>
        <v/>
      </c>
      <c r="BF142" s="742" t="str">
        <f t="shared" si="281"/>
        <v/>
      </c>
      <c r="BG142" s="743" t="str">
        <f t="shared" si="282"/>
        <v/>
      </c>
      <c r="BH142" s="728" t="str">
        <f t="shared" si="295"/>
        <v/>
      </c>
      <c r="BL142" s="732" t="str">
        <f t="shared" si="296"/>
        <v/>
      </c>
      <c r="BM142" s="487" t="str">
        <f t="shared" si="283"/>
        <v/>
      </c>
      <c r="BN142" s="487"/>
      <c r="BO142" s="487"/>
      <c r="BP142" s="720" t="str">
        <f t="shared" si="284"/>
        <v/>
      </c>
      <c r="BQ142" s="700"/>
      <c r="BR142" s="732" t="str">
        <f t="shared" si="285"/>
        <v/>
      </c>
      <c r="BS142" s="732" t="str">
        <f t="shared" si="286"/>
        <v/>
      </c>
      <c r="BT142" s="723" t="str">
        <f t="shared" si="287"/>
        <v/>
      </c>
      <c r="BU142" s="734" t="str">
        <f t="shared" si="288"/>
        <v/>
      </c>
      <c r="BV142" s="736" t="str">
        <f t="shared" si="289"/>
        <v/>
      </c>
      <c r="BW142" s="737" t="str">
        <f t="shared" si="290"/>
        <v/>
      </c>
      <c r="BX142" s="737" t="str">
        <f t="shared" si="291"/>
        <v/>
      </c>
      <c r="BY142" s="738" t="str">
        <f t="shared" si="292"/>
        <v/>
      </c>
      <c r="BZ142" s="730" t="str">
        <f t="shared" si="297"/>
        <v/>
      </c>
    </row>
    <row r="143" spans="46:78" ht="24.95" hidden="1" customHeight="1">
      <c r="AT143" s="488" t="str">
        <f t="shared" si="293"/>
        <v/>
      </c>
      <c r="AU143" s="488" t="str">
        <f t="shared" si="274"/>
        <v/>
      </c>
      <c r="AV143" s="488"/>
      <c r="AW143" s="739"/>
      <c r="AX143" s="720" t="str">
        <f t="shared" si="275"/>
        <v/>
      </c>
      <c r="AY143" s="275"/>
      <c r="AZ143" s="489" t="str">
        <f t="shared" si="276"/>
        <v/>
      </c>
      <c r="BA143" s="489" t="str">
        <f t="shared" si="277"/>
        <v/>
      </c>
      <c r="BB143" s="723" t="str">
        <f t="shared" si="278"/>
        <v/>
      </c>
      <c r="BC143" s="741" t="str">
        <f t="shared" si="279"/>
        <v/>
      </c>
      <c r="BD143" s="742" t="str">
        <f t="shared" si="280"/>
        <v/>
      </c>
      <c r="BE143" s="743" t="str">
        <f t="shared" si="294"/>
        <v/>
      </c>
      <c r="BF143" s="742" t="str">
        <f t="shared" si="281"/>
        <v/>
      </c>
      <c r="BG143" s="743" t="str">
        <f t="shared" si="282"/>
        <v/>
      </c>
      <c r="BH143" s="728" t="str">
        <f t="shared" si="295"/>
        <v/>
      </c>
      <c r="BL143" s="732" t="str">
        <f t="shared" si="296"/>
        <v/>
      </c>
      <c r="BM143" s="487" t="str">
        <f t="shared" si="283"/>
        <v/>
      </c>
      <c r="BN143" s="487"/>
      <c r="BO143" s="487"/>
      <c r="BP143" s="720" t="str">
        <f t="shared" si="284"/>
        <v/>
      </c>
      <c r="BQ143" s="700"/>
      <c r="BR143" s="732" t="str">
        <f t="shared" si="285"/>
        <v/>
      </c>
      <c r="BS143" s="732" t="str">
        <f t="shared" si="286"/>
        <v/>
      </c>
      <c r="BT143" s="723" t="str">
        <f t="shared" si="287"/>
        <v/>
      </c>
      <c r="BU143" s="734" t="str">
        <f t="shared" si="288"/>
        <v/>
      </c>
      <c r="BV143" s="736" t="str">
        <f t="shared" si="289"/>
        <v/>
      </c>
      <c r="BW143" s="737" t="str">
        <f t="shared" si="290"/>
        <v/>
      </c>
      <c r="BX143" s="737" t="str">
        <f t="shared" si="291"/>
        <v/>
      </c>
      <c r="BY143" s="738" t="str">
        <f t="shared" si="292"/>
        <v/>
      </c>
      <c r="BZ143" s="730" t="str">
        <f t="shared" si="297"/>
        <v/>
      </c>
    </row>
    <row r="144" spans="46:78" ht="24.95" hidden="1" customHeight="1">
      <c r="AT144" s="488" t="str">
        <f t="shared" si="293"/>
        <v/>
      </c>
      <c r="AU144" s="488" t="str">
        <f t="shared" si="274"/>
        <v/>
      </c>
      <c r="AV144" s="488"/>
      <c r="AW144" s="739"/>
      <c r="AX144" s="720" t="str">
        <f t="shared" si="275"/>
        <v/>
      </c>
      <c r="AY144" s="275"/>
      <c r="AZ144" s="489" t="str">
        <f t="shared" si="276"/>
        <v/>
      </c>
      <c r="BA144" s="489" t="str">
        <f t="shared" si="277"/>
        <v/>
      </c>
      <c r="BB144" s="723" t="str">
        <f t="shared" si="278"/>
        <v/>
      </c>
      <c r="BC144" s="741" t="str">
        <f t="shared" si="279"/>
        <v/>
      </c>
      <c r="BD144" s="742" t="str">
        <f t="shared" si="280"/>
        <v/>
      </c>
      <c r="BE144" s="743" t="str">
        <f t="shared" si="294"/>
        <v/>
      </c>
      <c r="BF144" s="742" t="str">
        <f t="shared" si="281"/>
        <v/>
      </c>
      <c r="BG144" s="743" t="str">
        <f t="shared" si="282"/>
        <v/>
      </c>
      <c r="BH144" s="728" t="str">
        <f t="shared" si="295"/>
        <v/>
      </c>
      <c r="BL144" s="732" t="str">
        <f t="shared" si="296"/>
        <v/>
      </c>
      <c r="BM144" s="487" t="str">
        <f t="shared" si="283"/>
        <v/>
      </c>
      <c r="BN144" s="487"/>
      <c r="BO144" s="487"/>
      <c r="BP144" s="720" t="str">
        <f t="shared" si="284"/>
        <v/>
      </c>
      <c r="BQ144" s="700"/>
      <c r="BR144" s="732" t="str">
        <f t="shared" si="285"/>
        <v/>
      </c>
      <c r="BS144" s="732" t="str">
        <f t="shared" si="286"/>
        <v/>
      </c>
      <c r="BT144" s="723" t="str">
        <f t="shared" si="287"/>
        <v/>
      </c>
      <c r="BU144" s="734" t="str">
        <f t="shared" si="288"/>
        <v/>
      </c>
      <c r="BV144" s="736" t="str">
        <f t="shared" si="289"/>
        <v/>
      </c>
      <c r="BW144" s="737" t="str">
        <f t="shared" si="290"/>
        <v/>
      </c>
      <c r="BX144" s="737" t="str">
        <f t="shared" si="291"/>
        <v/>
      </c>
      <c r="BY144" s="738" t="str">
        <f t="shared" si="292"/>
        <v/>
      </c>
      <c r="BZ144" s="730" t="str">
        <f t="shared" si="297"/>
        <v/>
      </c>
    </row>
    <row r="145" spans="46:78" ht="24.95" hidden="1" customHeight="1">
      <c r="AT145" s="488" t="str">
        <f t="shared" si="293"/>
        <v/>
      </c>
      <c r="AU145" s="488" t="str">
        <f t="shared" si="274"/>
        <v/>
      </c>
      <c r="AV145" s="488"/>
      <c r="AW145" s="739"/>
      <c r="AX145" s="720" t="str">
        <f t="shared" si="275"/>
        <v/>
      </c>
      <c r="AY145" s="275"/>
      <c r="AZ145" s="489" t="str">
        <f t="shared" si="276"/>
        <v/>
      </c>
      <c r="BA145" s="489" t="str">
        <f t="shared" si="277"/>
        <v/>
      </c>
      <c r="BB145" s="723" t="str">
        <f t="shared" si="278"/>
        <v/>
      </c>
      <c r="BC145" s="741" t="str">
        <f t="shared" si="279"/>
        <v/>
      </c>
      <c r="BD145" s="742" t="str">
        <f t="shared" si="280"/>
        <v/>
      </c>
      <c r="BE145" s="743" t="str">
        <f t="shared" si="294"/>
        <v/>
      </c>
      <c r="BF145" s="742" t="str">
        <f t="shared" si="281"/>
        <v/>
      </c>
      <c r="BG145" s="743" t="str">
        <f t="shared" si="282"/>
        <v/>
      </c>
      <c r="BH145" s="728" t="str">
        <f t="shared" si="295"/>
        <v/>
      </c>
      <c r="BL145" s="732" t="str">
        <f t="shared" si="296"/>
        <v/>
      </c>
      <c r="BM145" s="487" t="str">
        <f t="shared" si="283"/>
        <v/>
      </c>
      <c r="BN145" s="487"/>
      <c r="BO145" s="487"/>
      <c r="BP145" s="720" t="str">
        <f t="shared" si="284"/>
        <v/>
      </c>
      <c r="BQ145" s="700"/>
      <c r="BR145" s="732" t="str">
        <f t="shared" si="285"/>
        <v/>
      </c>
      <c r="BS145" s="732" t="str">
        <f t="shared" si="286"/>
        <v/>
      </c>
      <c r="BT145" s="723" t="str">
        <f t="shared" si="287"/>
        <v/>
      </c>
      <c r="BU145" s="734" t="str">
        <f t="shared" si="288"/>
        <v/>
      </c>
      <c r="BV145" s="736" t="str">
        <f t="shared" si="289"/>
        <v/>
      </c>
      <c r="BW145" s="737" t="str">
        <f t="shared" si="290"/>
        <v/>
      </c>
      <c r="BX145" s="737" t="str">
        <f t="shared" si="291"/>
        <v/>
      </c>
      <c r="BY145" s="738" t="str">
        <f t="shared" si="292"/>
        <v/>
      </c>
      <c r="BZ145" s="730" t="str">
        <f t="shared" si="297"/>
        <v/>
      </c>
    </row>
    <row r="146" spans="46:78" ht="24.95" hidden="1" customHeight="1">
      <c r="AT146" s="488" t="str">
        <f t="shared" si="293"/>
        <v/>
      </c>
      <c r="AU146" s="488" t="str">
        <f t="shared" si="274"/>
        <v/>
      </c>
      <c r="AV146" s="488"/>
      <c r="AW146" s="739"/>
      <c r="AX146" s="720" t="str">
        <f t="shared" si="275"/>
        <v/>
      </c>
      <c r="AY146" s="275"/>
      <c r="AZ146" s="489" t="str">
        <f t="shared" si="276"/>
        <v/>
      </c>
      <c r="BA146" s="489" t="str">
        <f t="shared" si="277"/>
        <v/>
      </c>
      <c r="BB146" s="723" t="str">
        <f t="shared" si="278"/>
        <v/>
      </c>
      <c r="BC146" s="741" t="str">
        <f t="shared" si="279"/>
        <v/>
      </c>
      <c r="BD146" s="742" t="str">
        <f t="shared" si="280"/>
        <v/>
      </c>
      <c r="BE146" s="743" t="str">
        <f t="shared" si="294"/>
        <v/>
      </c>
      <c r="BF146" s="742" t="str">
        <f t="shared" si="281"/>
        <v/>
      </c>
      <c r="BG146" s="743" t="str">
        <f t="shared" si="282"/>
        <v/>
      </c>
      <c r="BH146" s="728" t="str">
        <f t="shared" si="295"/>
        <v/>
      </c>
      <c r="BL146" s="732" t="str">
        <f t="shared" si="296"/>
        <v/>
      </c>
      <c r="BM146" s="487" t="str">
        <f t="shared" si="283"/>
        <v/>
      </c>
      <c r="BN146" s="487"/>
      <c r="BO146" s="487"/>
      <c r="BP146" s="720" t="str">
        <f t="shared" si="284"/>
        <v/>
      </c>
      <c r="BQ146" s="700"/>
      <c r="BR146" s="732" t="str">
        <f t="shared" si="285"/>
        <v/>
      </c>
      <c r="BS146" s="732" t="str">
        <f t="shared" si="286"/>
        <v/>
      </c>
      <c r="BT146" s="723" t="str">
        <f t="shared" si="287"/>
        <v/>
      </c>
      <c r="BU146" s="734" t="str">
        <f t="shared" si="288"/>
        <v/>
      </c>
      <c r="BV146" s="736" t="str">
        <f t="shared" si="289"/>
        <v/>
      </c>
      <c r="BW146" s="737" t="str">
        <f t="shared" si="290"/>
        <v/>
      </c>
      <c r="BX146" s="737" t="str">
        <f t="shared" si="291"/>
        <v/>
      </c>
      <c r="BY146" s="738" t="str">
        <f t="shared" si="292"/>
        <v/>
      </c>
      <c r="BZ146" s="730" t="str">
        <f t="shared" si="297"/>
        <v/>
      </c>
    </row>
    <row r="147" spans="46:78" ht="24.95" hidden="1" customHeight="1">
      <c r="AT147" s="488" t="str">
        <f t="shared" si="293"/>
        <v/>
      </c>
      <c r="AU147" s="488" t="str">
        <f t="shared" si="274"/>
        <v/>
      </c>
      <c r="AV147" s="488"/>
      <c r="AW147" s="739"/>
      <c r="AX147" s="720" t="str">
        <f t="shared" si="275"/>
        <v/>
      </c>
      <c r="AY147" s="275"/>
      <c r="AZ147" s="489" t="str">
        <f t="shared" si="276"/>
        <v/>
      </c>
      <c r="BA147" s="489" t="str">
        <f t="shared" si="277"/>
        <v/>
      </c>
      <c r="BB147" s="723" t="str">
        <f t="shared" si="278"/>
        <v/>
      </c>
      <c r="BC147" s="741" t="str">
        <f t="shared" si="279"/>
        <v/>
      </c>
      <c r="BD147" s="742" t="str">
        <f t="shared" si="280"/>
        <v/>
      </c>
      <c r="BE147" s="743" t="str">
        <f t="shared" si="294"/>
        <v/>
      </c>
      <c r="BF147" s="742" t="str">
        <f t="shared" si="281"/>
        <v/>
      </c>
      <c r="BG147" s="743" t="str">
        <f t="shared" si="282"/>
        <v/>
      </c>
      <c r="BH147" s="728" t="str">
        <f t="shared" si="295"/>
        <v/>
      </c>
      <c r="BL147" s="732" t="str">
        <f t="shared" si="296"/>
        <v/>
      </c>
      <c r="BM147" s="487" t="str">
        <f t="shared" si="283"/>
        <v/>
      </c>
      <c r="BN147" s="487"/>
      <c r="BO147" s="487"/>
      <c r="BP147" s="720" t="str">
        <f t="shared" si="284"/>
        <v/>
      </c>
      <c r="BQ147" s="700"/>
      <c r="BR147" s="732" t="str">
        <f t="shared" si="285"/>
        <v/>
      </c>
      <c r="BS147" s="732" t="str">
        <f t="shared" si="286"/>
        <v/>
      </c>
      <c r="BT147" s="723" t="str">
        <f t="shared" si="287"/>
        <v/>
      </c>
      <c r="BU147" s="734" t="str">
        <f t="shared" si="288"/>
        <v/>
      </c>
      <c r="BV147" s="736" t="str">
        <f t="shared" si="289"/>
        <v/>
      </c>
      <c r="BW147" s="737" t="str">
        <f t="shared" si="290"/>
        <v/>
      </c>
      <c r="BX147" s="737" t="str">
        <f t="shared" si="291"/>
        <v/>
      </c>
      <c r="BY147" s="738" t="str">
        <f t="shared" si="292"/>
        <v/>
      </c>
      <c r="BZ147" s="730" t="str">
        <f t="shared" si="297"/>
        <v/>
      </c>
    </row>
    <row r="148" spans="46:78" ht="24.95" hidden="1" customHeight="1">
      <c r="AT148" s="488" t="str">
        <f t="shared" si="293"/>
        <v/>
      </c>
      <c r="AU148" s="488" t="str">
        <f t="shared" si="274"/>
        <v/>
      </c>
      <c r="AV148" s="488"/>
      <c r="AW148" s="739"/>
      <c r="AX148" s="720" t="str">
        <f t="shared" si="275"/>
        <v/>
      </c>
      <c r="AY148" s="275"/>
      <c r="AZ148" s="489" t="str">
        <f t="shared" si="276"/>
        <v/>
      </c>
      <c r="BA148" s="489" t="str">
        <f t="shared" si="277"/>
        <v/>
      </c>
      <c r="BB148" s="723" t="str">
        <f t="shared" si="278"/>
        <v/>
      </c>
      <c r="BC148" s="741" t="str">
        <f t="shared" si="279"/>
        <v/>
      </c>
      <c r="BD148" s="742" t="str">
        <f t="shared" si="280"/>
        <v/>
      </c>
      <c r="BE148" s="743" t="str">
        <f t="shared" si="294"/>
        <v/>
      </c>
      <c r="BF148" s="742" t="str">
        <f t="shared" si="281"/>
        <v/>
      </c>
      <c r="BG148" s="743" t="str">
        <f t="shared" si="282"/>
        <v/>
      </c>
      <c r="BH148" s="728" t="str">
        <f t="shared" si="295"/>
        <v/>
      </c>
      <c r="BL148" s="732" t="str">
        <f t="shared" si="296"/>
        <v/>
      </c>
      <c r="BM148" s="487" t="str">
        <f t="shared" si="283"/>
        <v/>
      </c>
      <c r="BN148" s="487"/>
      <c r="BO148" s="487"/>
      <c r="BP148" s="720" t="str">
        <f t="shared" si="284"/>
        <v/>
      </c>
      <c r="BQ148" s="700"/>
      <c r="BR148" s="732" t="str">
        <f t="shared" si="285"/>
        <v/>
      </c>
      <c r="BS148" s="732" t="str">
        <f t="shared" si="286"/>
        <v/>
      </c>
      <c r="BT148" s="723" t="str">
        <f t="shared" si="287"/>
        <v/>
      </c>
      <c r="BU148" s="734" t="str">
        <f t="shared" si="288"/>
        <v/>
      </c>
      <c r="BV148" s="736" t="str">
        <f t="shared" si="289"/>
        <v/>
      </c>
      <c r="BW148" s="737" t="str">
        <f t="shared" si="290"/>
        <v/>
      </c>
      <c r="BX148" s="737" t="str">
        <f t="shared" si="291"/>
        <v/>
      </c>
      <c r="BY148" s="738" t="str">
        <f t="shared" si="292"/>
        <v/>
      </c>
      <c r="BZ148" s="730" t="str">
        <f t="shared" si="297"/>
        <v/>
      </c>
    </row>
    <row r="149" spans="46:78" ht="24.95" hidden="1" customHeight="1">
      <c r="AT149" s="488" t="str">
        <f t="shared" si="293"/>
        <v/>
      </c>
      <c r="AU149" s="488" t="str">
        <f t="shared" si="274"/>
        <v/>
      </c>
      <c r="AV149" s="488"/>
      <c r="AW149" s="739"/>
      <c r="AX149" s="720" t="str">
        <f t="shared" si="275"/>
        <v/>
      </c>
      <c r="AY149" s="275"/>
      <c r="AZ149" s="489" t="str">
        <f t="shared" si="276"/>
        <v/>
      </c>
      <c r="BA149" s="489" t="str">
        <f t="shared" si="277"/>
        <v/>
      </c>
      <c r="BB149" s="723" t="str">
        <f t="shared" si="278"/>
        <v/>
      </c>
      <c r="BC149" s="741" t="str">
        <f t="shared" si="279"/>
        <v/>
      </c>
      <c r="BD149" s="742" t="str">
        <f t="shared" si="280"/>
        <v/>
      </c>
      <c r="BE149" s="743" t="str">
        <f t="shared" si="294"/>
        <v/>
      </c>
      <c r="BF149" s="742" t="str">
        <f t="shared" si="281"/>
        <v/>
      </c>
      <c r="BG149" s="743" t="str">
        <f t="shared" si="282"/>
        <v/>
      </c>
      <c r="BH149" s="728" t="str">
        <f t="shared" si="295"/>
        <v/>
      </c>
      <c r="BL149" s="732" t="str">
        <f t="shared" si="296"/>
        <v/>
      </c>
      <c r="BM149" s="487" t="str">
        <f t="shared" si="283"/>
        <v/>
      </c>
      <c r="BN149" s="487"/>
      <c r="BO149" s="487"/>
      <c r="BP149" s="720" t="str">
        <f t="shared" si="284"/>
        <v/>
      </c>
      <c r="BQ149" s="700"/>
      <c r="BR149" s="732" t="str">
        <f t="shared" si="285"/>
        <v/>
      </c>
      <c r="BS149" s="732" t="str">
        <f t="shared" si="286"/>
        <v/>
      </c>
      <c r="BT149" s="723" t="str">
        <f t="shared" si="287"/>
        <v/>
      </c>
      <c r="BU149" s="734" t="str">
        <f t="shared" si="288"/>
        <v/>
      </c>
      <c r="BV149" s="736" t="str">
        <f t="shared" si="289"/>
        <v/>
      </c>
      <c r="BW149" s="737" t="str">
        <f t="shared" si="290"/>
        <v/>
      </c>
      <c r="BX149" s="737" t="str">
        <f t="shared" si="291"/>
        <v/>
      </c>
      <c r="BY149" s="738" t="str">
        <f t="shared" si="292"/>
        <v/>
      </c>
      <c r="BZ149" s="730" t="str">
        <f t="shared" si="297"/>
        <v/>
      </c>
    </row>
    <row r="150" spans="46:78" ht="24.95" hidden="1" customHeight="1">
      <c r="AT150" s="488" t="str">
        <f t="shared" si="293"/>
        <v/>
      </c>
      <c r="AU150" s="488" t="str">
        <f t="shared" si="274"/>
        <v/>
      </c>
      <c r="AV150" s="488"/>
      <c r="AW150" s="739"/>
      <c r="AX150" s="720" t="str">
        <f t="shared" si="275"/>
        <v/>
      </c>
      <c r="AY150" s="275"/>
      <c r="AZ150" s="489" t="str">
        <f t="shared" si="276"/>
        <v/>
      </c>
      <c r="BA150" s="489" t="str">
        <f t="shared" si="277"/>
        <v/>
      </c>
      <c r="BB150" s="723" t="str">
        <f t="shared" si="278"/>
        <v/>
      </c>
      <c r="BC150" s="741" t="str">
        <f t="shared" si="279"/>
        <v/>
      </c>
      <c r="BD150" s="742" t="str">
        <f t="shared" si="280"/>
        <v/>
      </c>
      <c r="BE150" s="743" t="str">
        <f t="shared" si="294"/>
        <v/>
      </c>
      <c r="BF150" s="742" t="str">
        <f t="shared" si="281"/>
        <v/>
      </c>
      <c r="BG150" s="743" t="str">
        <f t="shared" si="282"/>
        <v/>
      </c>
      <c r="BH150" s="728" t="str">
        <f t="shared" si="295"/>
        <v/>
      </c>
      <c r="BL150" s="732" t="str">
        <f t="shared" si="296"/>
        <v/>
      </c>
      <c r="BM150" s="487" t="str">
        <f t="shared" si="283"/>
        <v/>
      </c>
      <c r="BN150" s="487"/>
      <c r="BO150" s="487"/>
      <c r="BP150" s="720" t="str">
        <f t="shared" si="284"/>
        <v/>
      </c>
      <c r="BQ150" s="700"/>
      <c r="BR150" s="732" t="str">
        <f t="shared" si="285"/>
        <v/>
      </c>
      <c r="BS150" s="732" t="str">
        <f t="shared" si="286"/>
        <v/>
      </c>
      <c r="BT150" s="723" t="str">
        <f t="shared" si="287"/>
        <v/>
      </c>
      <c r="BU150" s="734" t="str">
        <f t="shared" si="288"/>
        <v/>
      </c>
      <c r="BV150" s="736" t="str">
        <f t="shared" si="289"/>
        <v/>
      </c>
      <c r="BW150" s="737" t="str">
        <f t="shared" si="290"/>
        <v/>
      </c>
      <c r="BX150" s="737" t="str">
        <f t="shared" si="291"/>
        <v/>
      </c>
      <c r="BY150" s="738" t="str">
        <f t="shared" si="292"/>
        <v/>
      </c>
      <c r="BZ150" s="730" t="str">
        <f t="shared" si="297"/>
        <v/>
      </c>
    </row>
    <row r="151" spans="46:78" ht="24.95" hidden="1" customHeight="1">
      <c r="AT151" s="488" t="str">
        <f t="shared" si="293"/>
        <v/>
      </c>
      <c r="AU151" s="488" t="str">
        <f t="shared" si="274"/>
        <v/>
      </c>
      <c r="AV151" s="488"/>
      <c r="AW151" s="739"/>
      <c r="AX151" s="720" t="str">
        <f t="shared" si="275"/>
        <v/>
      </c>
      <c r="AY151" s="275"/>
      <c r="AZ151" s="489" t="str">
        <f t="shared" si="276"/>
        <v/>
      </c>
      <c r="BA151" s="489" t="str">
        <f t="shared" si="277"/>
        <v/>
      </c>
      <c r="BB151" s="723" t="str">
        <f t="shared" si="278"/>
        <v/>
      </c>
      <c r="BC151" s="741" t="str">
        <f t="shared" si="279"/>
        <v/>
      </c>
      <c r="BD151" s="742" t="str">
        <f t="shared" si="280"/>
        <v/>
      </c>
      <c r="BE151" s="743" t="str">
        <f t="shared" si="294"/>
        <v/>
      </c>
      <c r="BF151" s="742" t="str">
        <f t="shared" si="281"/>
        <v/>
      </c>
      <c r="BG151" s="743" t="str">
        <f t="shared" si="282"/>
        <v/>
      </c>
      <c r="BH151" s="728" t="str">
        <f t="shared" si="295"/>
        <v/>
      </c>
      <c r="BL151" s="732" t="str">
        <f t="shared" si="296"/>
        <v/>
      </c>
      <c r="BM151" s="487" t="str">
        <f t="shared" si="283"/>
        <v/>
      </c>
      <c r="BN151" s="487"/>
      <c r="BO151" s="487"/>
      <c r="BP151" s="720" t="str">
        <f t="shared" si="284"/>
        <v/>
      </c>
      <c r="BQ151" s="700"/>
      <c r="BR151" s="732" t="str">
        <f t="shared" si="285"/>
        <v/>
      </c>
      <c r="BS151" s="732" t="str">
        <f t="shared" si="286"/>
        <v/>
      </c>
      <c r="BT151" s="723" t="str">
        <f t="shared" si="287"/>
        <v/>
      </c>
      <c r="BU151" s="734" t="str">
        <f t="shared" si="288"/>
        <v/>
      </c>
      <c r="BV151" s="736" t="str">
        <f t="shared" si="289"/>
        <v/>
      </c>
      <c r="BW151" s="737" t="str">
        <f t="shared" si="290"/>
        <v/>
      </c>
      <c r="BX151" s="737" t="str">
        <f t="shared" si="291"/>
        <v/>
      </c>
      <c r="BY151" s="738" t="str">
        <f t="shared" si="292"/>
        <v/>
      </c>
      <c r="BZ151" s="730" t="str">
        <f t="shared" si="297"/>
        <v/>
      </c>
    </row>
    <row r="152" spans="46:78" ht="24.95" hidden="1" customHeight="1">
      <c r="AT152" s="488" t="str">
        <f t="shared" si="293"/>
        <v/>
      </c>
      <c r="AU152" s="488" t="str">
        <f t="shared" si="274"/>
        <v/>
      </c>
      <c r="AV152" s="488"/>
      <c r="AW152" s="739"/>
      <c r="AX152" s="720" t="str">
        <f t="shared" si="275"/>
        <v/>
      </c>
      <c r="AY152" s="275"/>
      <c r="AZ152" s="489" t="str">
        <f t="shared" si="276"/>
        <v/>
      </c>
      <c r="BA152" s="489" t="str">
        <f t="shared" si="277"/>
        <v/>
      </c>
      <c r="BB152" s="723" t="str">
        <f t="shared" si="278"/>
        <v/>
      </c>
      <c r="BC152" s="741" t="str">
        <f t="shared" si="279"/>
        <v/>
      </c>
      <c r="BD152" s="742" t="str">
        <f t="shared" si="280"/>
        <v/>
      </c>
      <c r="BE152" s="743" t="str">
        <f t="shared" si="294"/>
        <v/>
      </c>
      <c r="BF152" s="742" t="str">
        <f t="shared" si="281"/>
        <v/>
      </c>
      <c r="BG152" s="743" t="str">
        <f t="shared" si="282"/>
        <v/>
      </c>
      <c r="BH152" s="728" t="str">
        <f t="shared" si="295"/>
        <v/>
      </c>
      <c r="BL152" s="732" t="str">
        <f t="shared" si="296"/>
        <v/>
      </c>
      <c r="BM152" s="487" t="str">
        <f t="shared" si="283"/>
        <v/>
      </c>
      <c r="BN152" s="487"/>
      <c r="BO152" s="487"/>
      <c r="BP152" s="720" t="str">
        <f t="shared" si="284"/>
        <v/>
      </c>
      <c r="BQ152" s="700"/>
      <c r="BR152" s="732" t="str">
        <f t="shared" si="285"/>
        <v/>
      </c>
      <c r="BS152" s="732" t="str">
        <f t="shared" si="286"/>
        <v/>
      </c>
      <c r="BT152" s="723" t="str">
        <f t="shared" si="287"/>
        <v/>
      </c>
      <c r="BU152" s="734" t="str">
        <f t="shared" si="288"/>
        <v/>
      </c>
      <c r="BV152" s="736" t="str">
        <f t="shared" si="289"/>
        <v/>
      </c>
      <c r="BW152" s="737" t="str">
        <f t="shared" si="290"/>
        <v/>
      </c>
      <c r="BX152" s="737" t="str">
        <f t="shared" si="291"/>
        <v/>
      </c>
      <c r="BY152" s="738" t="str">
        <f t="shared" si="292"/>
        <v/>
      </c>
      <c r="BZ152" s="730" t="str">
        <f t="shared" si="297"/>
        <v/>
      </c>
    </row>
    <row r="153" spans="46:78" ht="24.95" hidden="1" customHeight="1">
      <c r="AT153" s="488" t="str">
        <f t="shared" si="293"/>
        <v/>
      </c>
      <c r="AU153" s="488" t="str">
        <f t="shared" si="274"/>
        <v/>
      </c>
      <c r="AV153" s="488"/>
      <c r="AW153" s="739"/>
      <c r="AX153" s="720" t="str">
        <f t="shared" si="275"/>
        <v/>
      </c>
      <c r="AY153" s="275"/>
      <c r="AZ153" s="489" t="str">
        <f t="shared" si="276"/>
        <v/>
      </c>
      <c r="BA153" s="489" t="str">
        <f t="shared" si="277"/>
        <v/>
      </c>
      <c r="BB153" s="723" t="str">
        <f t="shared" si="278"/>
        <v/>
      </c>
      <c r="BC153" s="741" t="str">
        <f t="shared" si="279"/>
        <v/>
      </c>
      <c r="BD153" s="742" t="str">
        <f t="shared" si="280"/>
        <v/>
      </c>
      <c r="BE153" s="743" t="str">
        <f t="shared" si="294"/>
        <v/>
      </c>
      <c r="BF153" s="742" t="str">
        <f t="shared" si="281"/>
        <v/>
      </c>
      <c r="BG153" s="743" t="str">
        <f t="shared" si="282"/>
        <v/>
      </c>
      <c r="BH153" s="728" t="str">
        <f t="shared" si="295"/>
        <v/>
      </c>
      <c r="BL153" s="732" t="str">
        <f t="shared" si="296"/>
        <v/>
      </c>
      <c r="BM153" s="487" t="str">
        <f t="shared" si="283"/>
        <v/>
      </c>
      <c r="BN153" s="487"/>
      <c r="BO153" s="487"/>
      <c r="BP153" s="720" t="str">
        <f t="shared" si="284"/>
        <v/>
      </c>
      <c r="BQ153" s="700"/>
      <c r="BR153" s="732" t="str">
        <f t="shared" si="285"/>
        <v/>
      </c>
      <c r="BS153" s="732" t="str">
        <f t="shared" si="286"/>
        <v/>
      </c>
      <c r="BT153" s="723" t="str">
        <f t="shared" si="287"/>
        <v/>
      </c>
      <c r="BU153" s="734" t="str">
        <f t="shared" si="288"/>
        <v/>
      </c>
      <c r="BV153" s="736" t="str">
        <f t="shared" si="289"/>
        <v/>
      </c>
      <c r="BW153" s="737" t="str">
        <f t="shared" si="290"/>
        <v/>
      </c>
      <c r="BX153" s="737" t="str">
        <f t="shared" si="291"/>
        <v/>
      </c>
      <c r="BY153" s="738" t="str">
        <f t="shared" si="292"/>
        <v/>
      </c>
      <c r="BZ153" s="730" t="str">
        <f t="shared" si="297"/>
        <v/>
      </c>
    </row>
    <row r="154" spans="46:78" ht="24.95" hidden="1" customHeight="1">
      <c r="AT154" s="488" t="str">
        <f t="shared" si="293"/>
        <v/>
      </c>
      <c r="AU154" s="488" t="str">
        <f t="shared" si="274"/>
        <v/>
      </c>
      <c r="AV154" s="488"/>
      <c r="AW154" s="739"/>
      <c r="AX154" s="720" t="str">
        <f t="shared" si="275"/>
        <v/>
      </c>
      <c r="AY154" s="275"/>
      <c r="AZ154" s="489" t="str">
        <f t="shared" si="276"/>
        <v/>
      </c>
      <c r="BA154" s="489" t="str">
        <f t="shared" si="277"/>
        <v/>
      </c>
      <c r="BB154" s="723" t="str">
        <f t="shared" si="278"/>
        <v/>
      </c>
      <c r="BC154" s="741" t="str">
        <f t="shared" si="279"/>
        <v/>
      </c>
      <c r="BD154" s="742" t="str">
        <f t="shared" si="280"/>
        <v/>
      </c>
      <c r="BE154" s="743" t="str">
        <f t="shared" si="294"/>
        <v/>
      </c>
      <c r="BF154" s="742" t="str">
        <f t="shared" si="281"/>
        <v/>
      </c>
      <c r="BG154" s="743" t="str">
        <f t="shared" si="282"/>
        <v/>
      </c>
      <c r="BH154" s="728" t="str">
        <f t="shared" si="295"/>
        <v/>
      </c>
      <c r="BL154" s="732" t="str">
        <f t="shared" si="296"/>
        <v/>
      </c>
      <c r="BM154" s="487" t="str">
        <f t="shared" si="283"/>
        <v/>
      </c>
      <c r="BN154" s="487"/>
      <c r="BO154" s="487"/>
      <c r="BP154" s="720" t="str">
        <f t="shared" si="284"/>
        <v/>
      </c>
      <c r="BQ154" s="700"/>
      <c r="BR154" s="732" t="str">
        <f t="shared" si="285"/>
        <v/>
      </c>
      <c r="BS154" s="732" t="str">
        <f t="shared" si="286"/>
        <v/>
      </c>
      <c r="BT154" s="723" t="str">
        <f t="shared" si="287"/>
        <v/>
      </c>
      <c r="BU154" s="734" t="str">
        <f t="shared" si="288"/>
        <v/>
      </c>
      <c r="BV154" s="736" t="str">
        <f t="shared" si="289"/>
        <v/>
      </c>
      <c r="BW154" s="737" t="str">
        <f t="shared" si="290"/>
        <v/>
      </c>
      <c r="BX154" s="737" t="str">
        <f t="shared" si="291"/>
        <v/>
      </c>
      <c r="BY154" s="738" t="str">
        <f t="shared" si="292"/>
        <v/>
      </c>
      <c r="BZ154" s="730" t="str">
        <f t="shared" si="297"/>
        <v/>
      </c>
    </row>
    <row r="155" spans="46:78" ht="24.95" hidden="1" customHeight="1">
      <c r="AT155" s="488" t="str">
        <f t="shared" si="293"/>
        <v/>
      </c>
      <c r="AU155" s="488" t="str">
        <f t="shared" si="274"/>
        <v/>
      </c>
      <c r="AV155" s="488"/>
      <c r="AW155" s="739"/>
      <c r="AX155" s="720" t="str">
        <f t="shared" si="275"/>
        <v/>
      </c>
      <c r="AY155" s="275"/>
      <c r="AZ155" s="489" t="str">
        <f t="shared" si="276"/>
        <v/>
      </c>
      <c r="BA155" s="489" t="str">
        <f t="shared" si="277"/>
        <v/>
      </c>
      <c r="BB155" s="723" t="str">
        <f t="shared" si="278"/>
        <v/>
      </c>
      <c r="BC155" s="741" t="str">
        <f t="shared" si="279"/>
        <v/>
      </c>
      <c r="BD155" s="742" t="str">
        <f t="shared" si="280"/>
        <v/>
      </c>
      <c r="BE155" s="743" t="str">
        <f t="shared" si="294"/>
        <v/>
      </c>
      <c r="BF155" s="742" t="str">
        <f t="shared" si="281"/>
        <v/>
      </c>
      <c r="BG155" s="743" t="str">
        <f t="shared" si="282"/>
        <v/>
      </c>
      <c r="BH155" s="728" t="str">
        <f t="shared" si="295"/>
        <v/>
      </c>
      <c r="BL155" s="732" t="str">
        <f t="shared" si="296"/>
        <v/>
      </c>
      <c r="BM155" s="487" t="str">
        <f t="shared" si="283"/>
        <v/>
      </c>
      <c r="BN155" s="487"/>
      <c r="BO155" s="487"/>
      <c r="BP155" s="720" t="str">
        <f t="shared" si="284"/>
        <v/>
      </c>
      <c r="BQ155" s="700"/>
      <c r="BR155" s="732" t="str">
        <f t="shared" si="285"/>
        <v/>
      </c>
      <c r="BS155" s="732" t="str">
        <f t="shared" si="286"/>
        <v/>
      </c>
      <c r="BT155" s="723" t="str">
        <f t="shared" si="287"/>
        <v/>
      </c>
      <c r="BU155" s="734" t="str">
        <f t="shared" si="288"/>
        <v/>
      </c>
      <c r="BV155" s="736" t="str">
        <f t="shared" si="289"/>
        <v/>
      </c>
      <c r="BW155" s="737" t="str">
        <f t="shared" si="290"/>
        <v/>
      </c>
      <c r="BX155" s="737" t="str">
        <f t="shared" si="291"/>
        <v/>
      </c>
      <c r="BY155" s="738" t="str">
        <f t="shared" si="292"/>
        <v/>
      </c>
      <c r="BZ155" s="730" t="str">
        <f t="shared" si="297"/>
        <v/>
      </c>
    </row>
    <row r="156" spans="46:78" ht="24.95" hidden="1" customHeight="1">
      <c r="AT156" s="488" t="str">
        <f t="shared" si="293"/>
        <v/>
      </c>
      <c r="AU156" s="488" t="str">
        <f t="shared" si="274"/>
        <v/>
      </c>
      <c r="AV156" s="488"/>
      <c r="AW156" s="739"/>
      <c r="AX156" s="720" t="str">
        <f t="shared" si="275"/>
        <v/>
      </c>
      <c r="AY156" s="275"/>
      <c r="AZ156" s="489" t="str">
        <f t="shared" si="276"/>
        <v/>
      </c>
      <c r="BA156" s="489" t="str">
        <f t="shared" si="277"/>
        <v/>
      </c>
      <c r="BB156" s="723" t="str">
        <f t="shared" si="278"/>
        <v/>
      </c>
      <c r="BC156" s="741" t="str">
        <f t="shared" si="279"/>
        <v/>
      </c>
      <c r="BD156" s="742" t="str">
        <f t="shared" si="280"/>
        <v/>
      </c>
      <c r="BE156" s="743" t="str">
        <f t="shared" si="294"/>
        <v/>
      </c>
      <c r="BF156" s="742" t="str">
        <f t="shared" si="281"/>
        <v/>
      </c>
      <c r="BG156" s="743" t="str">
        <f t="shared" si="282"/>
        <v/>
      </c>
      <c r="BH156" s="728" t="str">
        <f t="shared" si="295"/>
        <v/>
      </c>
      <c r="BL156" s="732" t="str">
        <f t="shared" si="296"/>
        <v/>
      </c>
      <c r="BM156" s="487" t="str">
        <f t="shared" si="283"/>
        <v/>
      </c>
      <c r="BN156" s="487"/>
      <c r="BO156" s="487"/>
      <c r="BP156" s="720" t="str">
        <f t="shared" si="284"/>
        <v/>
      </c>
      <c r="BQ156" s="700"/>
      <c r="BR156" s="732" t="str">
        <f t="shared" si="285"/>
        <v/>
      </c>
      <c r="BS156" s="732" t="str">
        <f t="shared" si="286"/>
        <v/>
      </c>
      <c r="BT156" s="723" t="str">
        <f t="shared" si="287"/>
        <v/>
      </c>
      <c r="BU156" s="734" t="str">
        <f t="shared" si="288"/>
        <v/>
      </c>
      <c r="BV156" s="736" t="str">
        <f t="shared" si="289"/>
        <v/>
      </c>
      <c r="BW156" s="737" t="str">
        <f t="shared" si="290"/>
        <v/>
      </c>
      <c r="BX156" s="737" t="str">
        <f t="shared" si="291"/>
        <v/>
      </c>
      <c r="BY156" s="738" t="str">
        <f t="shared" si="292"/>
        <v/>
      </c>
      <c r="BZ156" s="730" t="str">
        <f t="shared" si="297"/>
        <v/>
      </c>
    </row>
    <row r="157" spans="46:78" ht="24.95" hidden="1" customHeight="1">
      <c r="AT157" s="488" t="str">
        <f t="shared" si="293"/>
        <v/>
      </c>
      <c r="AU157" s="488" t="str">
        <f t="shared" ref="AU157:AU188" si="298">IF(K40&lt;&gt;"",K40,"")</f>
        <v/>
      </c>
      <c r="AV157" s="488"/>
      <c r="AW157" s="739"/>
      <c r="AX157" s="720" t="str">
        <f t="shared" ref="AX157:AX188" si="299">IF(M40&lt;&gt;"",MID(M40,7,200),"")</f>
        <v/>
      </c>
      <c r="AY157" s="275"/>
      <c r="AZ157" s="489" t="str">
        <f t="shared" ref="AZ157:AZ188" si="300">IF(N40&gt;0,N40,"")</f>
        <v/>
      </c>
      <c r="BA157" s="489" t="str">
        <f t="shared" ref="BA157:BA188" si="301">IF(O40&lt;&gt;"",O40,"")</f>
        <v/>
      </c>
      <c r="BB157" s="723" t="str">
        <f t="shared" ref="BB157:BB188" si="302">IF(M40&lt;&gt;"",MID(P40,5,100),"")</f>
        <v/>
      </c>
      <c r="BC157" s="741" t="str">
        <f t="shared" si="279"/>
        <v/>
      </c>
      <c r="BD157" s="742" t="str">
        <f t="shared" ref="BD157:BD188" si="303">IF(M40&lt;&gt;"",U40,"")</f>
        <v/>
      </c>
      <c r="BE157" s="743" t="str">
        <f t="shared" si="294"/>
        <v/>
      </c>
      <c r="BF157" s="742" t="str">
        <f t="shared" ref="BF157:BF188" si="304">IF(M40&lt;&gt;"",W40,"")</f>
        <v/>
      </c>
      <c r="BG157" s="743" t="str">
        <f t="shared" si="282"/>
        <v/>
      </c>
      <c r="BH157" s="728" t="str">
        <f t="shared" si="295"/>
        <v/>
      </c>
      <c r="BL157" s="732" t="str">
        <f t="shared" si="296"/>
        <v/>
      </c>
      <c r="BM157" s="487" t="str">
        <f t="shared" ref="BM157:BM188" si="305">IF(M40&lt;&gt;"",K40,"")</f>
        <v/>
      </c>
      <c r="BN157" s="487"/>
      <c r="BO157" s="487"/>
      <c r="BP157" s="720" t="str">
        <f t="shared" ref="BP157:BP188" si="306">IF(M40&lt;&gt;"",MID(M40,7,200),"")</f>
        <v/>
      </c>
      <c r="BQ157" s="700"/>
      <c r="BR157" s="732" t="str">
        <f t="shared" ref="BR157:BR188" si="307">IF(N40&gt;0,N40,"")</f>
        <v/>
      </c>
      <c r="BS157" s="732" t="str">
        <f t="shared" ref="BS157:BS188" si="308">IF(O40&lt;&gt;"",O40,"")</f>
        <v/>
      </c>
      <c r="BT157" s="723" t="str">
        <f t="shared" ref="BT157:BT188" si="309">IF(M40&lt;&gt;"",MID(P40,5,100),"")</f>
        <v/>
      </c>
      <c r="BU157" s="734" t="str">
        <f t="shared" si="288"/>
        <v/>
      </c>
      <c r="BV157" s="736" t="str">
        <f t="shared" ref="BV157:BV188" si="310">IF(M40&lt;&gt;"",U40,"")</f>
        <v/>
      </c>
      <c r="BW157" s="737" t="str">
        <f t="shared" si="290"/>
        <v/>
      </c>
      <c r="BX157" s="737" t="str">
        <f t="shared" ref="BX157:BX188" si="311">IF(M40&lt;&gt;"",W40,"")</f>
        <v/>
      </c>
      <c r="BY157" s="738" t="str">
        <f t="shared" si="292"/>
        <v/>
      </c>
      <c r="BZ157" s="730" t="str">
        <f t="shared" si="297"/>
        <v/>
      </c>
    </row>
    <row r="158" spans="46:78" ht="24.95" hidden="1" customHeight="1">
      <c r="AT158" s="488" t="str">
        <f t="shared" ref="AT158:AT189" si="312">IF(M41="","",AT157+1)</f>
        <v/>
      </c>
      <c r="AU158" s="488" t="str">
        <f t="shared" si="298"/>
        <v/>
      </c>
      <c r="AV158" s="488"/>
      <c r="AW158" s="739"/>
      <c r="AX158" s="720" t="str">
        <f t="shared" si="299"/>
        <v/>
      </c>
      <c r="AY158" s="275"/>
      <c r="AZ158" s="489" t="str">
        <f t="shared" si="300"/>
        <v/>
      </c>
      <c r="BA158" s="489" t="str">
        <f t="shared" si="301"/>
        <v/>
      </c>
      <c r="BB158" s="723" t="str">
        <f t="shared" si="302"/>
        <v/>
      </c>
      <c r="BC158" s="741" t="str">
        <f t="shared" si="279"/>
        <v/>
      </c>
      <c r="BD158" s="742" t="str">
        <f t="shared" si="303"/>
        <v/>
      </c>
      <c r="BE158" s="743" t="str">
        <f t="shared" si="294"/>
        <v/>
      </c>
      <c r="BF158" s="742" t="str">
        <f t="shared" si="304"/>
        <v/>
      </c>
      <c r="BG158" s="743" t="str">
        <f t="shared" si="282"/>
        <v/>
      </c>
      <c r="BH158" s="728" t="str">
        <f t="shared" si="295"/>
        <v/>
      </c>
      <c r="BL158" s="732" t="str">
        <f t="shared" ref="BL158:BL189" si="313">IF(M41="","",BL157+1)</f>
        <v/>
      </c>
      <c r="BM158" s="487" t="str">
        <f t="shared" si="305"/>
        <v/>
      </c>
      <c r="BN158" s="487"/>
      <c r="BO158" s="487"/>
      <c r="BP158" s="720" t="str">
        <f t="shared" si="306"/>
        <v/>
      </c>
      <c r="BQ158" s="700"/>
      <c r="BR158" s="732" t="str">
        <f t="shared" si="307"/>
        <v/>
      </c>
      <c r="BS158" s="732" t="str">
        <f t="shared" si="308"/>
        <v/>
      </c>
      <c r="BT158" s="723" t="str">
        <f t="shared" si="309"/>
        <v/>
      </c>
      <c r="BU158" s="734" t="str">
        <f t="shared" si="288"/>
        <v/>
      </c>
      <c r="BV158" s="736" t="str">
        <f t="shared" si="310"/>
        <v/>
      </c>
      <c r="BW158" s="737" t="str">
        <f t="shared" si="290"/>
        <v/>
      </c>
      <c r="BX158" s="737" t="str">
        <f t="shared" si="311"/>
        <v/>
      </c>
      <c r="BY158" s="738" t="str">
        <f t="shared" si="292"/>
        <v/>
      </c>
      <c r="BZ158" s="730" t="str">
        <f t="shared" si="297"/>
        <v/>
      </c>
    </row>
    <row r="159" spans="46:78" ht="24.95" hidden="1" customHeight="1">
      <c r="AT159" s="488" t="str">
        <f t="shared" si="312"/>
        <v/>
      </c>
      <c r="AU159" s="488" t="str">
        <f t="shared" si="298"/>
        <v/>
      </c>
      <c r="AV159" s="488"/>
      <c r="AW159" s="739"/>
      <c r="AX159" s="720" t="str">
        <f t="shared" si="299"/>
        <v/>
      </c>
      <c r="AY159" s="275"/>
      <c r="AZ159" s="489" t="str">
        <f t="shared" si="300"/>
        <v/>
      </c>
      <c r="BA159" s="489" t="str">
        <f t="shared" si="301"/>
        <v/>
      </c>
      <c r="BB159" s="723" t="str">
        <f t="shared" si="302"/>
        <v/>
      </c>
      <c r="BC159" s="741" t="str">
        <f t="shared" si="279"/>
        <v/>
      </c>
      <c r="BD159" s="742" t="str">
        <f t="shared" si="303"/>
        <v/>
      </c>
      <c r="BE159" s="743" t="str">
        <f t="shared" si="294"/>
        <v/>
      </c>
      <c r="BF159" s="742" t="str">
        <f t="shared" si="304"/>
        <v/>
      </c>
      <c r="BG159" s="743" t="str">
        <f t="shared" si="282"/>
        <v/>
      </c>
      <c r="BH159" s="728" t="str">
        <f t="shared" si="295"/>
        <v/>
      </c>
      <c r="BL159" s="732" t="str">
        <f t="shared" si="313"/>
        <v/>
      </c>
      <c r="BM159" s="487" t="str">
        <f t="shared" si="305"/>
        <v/>
      </c>
      <c r="BN159" s="487"/>
      <c r="BO159" s="487"/>
      <c r="BP159" s="720" t="str">
        <f t="shared" si="306"/>
        <v/>
      </c>
      <c r="BQ159" s="700"/>
      <c r="BR159" s="732" t="str">
        <f t="shared" si="307"/>
        <v/>
      </c>
      <c r="BS159" s="732" t="str">
        <f t="shared" si="308"/>
        <v/>
      </c>
      <c r="BT159" s="723" t="str">
        <f t="shared" si="309"/>
        <v/>
      </c>
      <c r="BU159" s="734" t="str">
        <f t="shared" si="288"/>
        <v/>
      </c>
      <c r="BV159" s="736" t="str">
        <f t="shared" si="310"/>
        <v/>
      </c>
      <c r="BW159" s="737" t="str">
        <f t="shared" si="290"/>
        <v/>
      </c>
      <c r="BX159" s="737" t="str">
        <f t="shared" si="311"/>
        <v/>
      </c>
      <c r="BY159" s="738" t="str">
        <f t="shared" si="292"/>
        <v/>
      </c>
      <c r="BZ159" s="730" t="str">
        <f t="shared" si="297"/>
        <v/>
      </c>
    </row>
    <row r="160" spans="46:78" ht="24.95" hidden="1" customHeight="1">
      <c r="AT160" s="488" t="str">
        <f t="shared" si="312"/>
        <v/>
      </c>
      <c r="AU160" s="488" t="str">
        <f t="shared" si="298"/>
        <v/>
      </c>
      <c r="AV160" s="488"/>
      <c r="AW160" s="739"/>
      <c r="AX160" s="720" t="str">
        <f t="shared" si="299"/>
        <v/>
      </c>
      <c r="AY160" s="275"/>
      <c r="AZ160" s="489" t="str">
        <f t="shared" si="300"/>
        <v/>
      </c>
      <c r="BA160" s="489" t="str">
        <f t="shared" si="301"/>
        <v/>
      </c>
      <c r="BB160" s="723" t="str">
        <f t="shared" si="302"/>
        <v/>
      </c>
      <c r="BC160" s="741" t="str">
        <f t="shared" si="279"/>
        <v/>
      </c>
      <c r="BD160" s="742" t="str">
        <f t="shared" si="303"/>
        <v/>
      </c>
      <c r="BE160" s="743" t="str">
        <f t="shared" si="294"/>
        <v/>
      </c>
      <c r="BF160" s="742" t="str">
        <f t="shared" si="304"/>
        <v/>
      </c>
      <c r="BG160" s="743" t="str">
        <f t="shared" si="282"/>
        <v/>
      </c>
      <c r="BH160" s="728" t="str">
        <f t="shared" si="295"/>
        <v/>
      </c>
      <c r="BL160" s="732" t="str">
        <f t="shared" si="313"/>
        <v/>
      </c>
      <c r="BM160" s="487" t="str">
        <f t="shared" si="305"/>
        <v/>
      </c>
      <c r="BN160" s="487"/>
      <c r="BO160" s="487"/>
      <c r="BP160" s="720" t="str">
        <f t="shared" si="306"/>
        <v/>
      </c>
      <c r="BQ160" s="700"/>
      <c r="BR160" s="732" t="str">
        <f t="shared" si="307"/>
        <v/>
      </c>
      <c r="BS160" s="732" t="str">
        <f t="shared" si="308"/>
        <v/>
      </c>
      <c r="BT160" s="723" t="str">
        <f t="shared" si="309"/>
        <v/>
      </c>
      <c r="BU160" s="734" t="str">
        <f t="shared" si="288"/>
        <v/>
      </c>
      <c r="BV160" s="736" t="str">
        <f t="shared" si="310"/>
        <v/>
      </c>
      <c r="BW160" s="737" t="str">
        <f t="shared" si="290"/>
        <v/>
      </c>
      <c r="BX160" s="737" t="str">
        <f t="shared" si="311"/>
        <v/>
      </c>
      <c r="BY160" s="738" t="str">
        <f t="shared" si="292"/>
        <v/>
      </c>
      <c r="BZ160" s="730" t="str">
        <f t="shared" si="297"/>
        <v/>
      </c>
    </row>
    <row r="161" spans="46:78" ht="24.95" hidden="1" customHeight="1">
      <c r="AT161" s="488" t="str">
        <f t="shared" si="312"/>
        <v/>
      </c>
      <c r="AU161" s="488" t="str">
        <f t="shared" si="298"/>
        <v/>
      </c>
      <c r="AV161" s="488"/>
      <c r="AW161" s="739"/>
      <c r="AX161" s="720" t="str">
        <f t="shared" si="299"/>
        <v/>
      </c>
      <c r="AY161" s="275"/>
      <c r="AZ161" s="489" t="str">
        <f t="shared" si="300"/>
        <v/>
      </c>
      <c r="BA161" s="489" t="str">
        <f t="shared" si="301"/>
        <v/>
      </c>
      <c r="BB161" s="723" t="str">
        <f t="shared" si="302"/>
        <v/>
      </c>
      <c r="BC161" s="741" t="str">
        <f t="shared" si="279"/>
        <v/>
      </c>
      <c r="BD161" s="742" t="str">
        <f t="shared" si="303"/>
        <v/>
      </c>
      <c r="BE161" s="743" t="str">
        <f t="shared" si="294"/>
        <v/>
      </c>
      <c r="BF161" s="742" t="str">
        <f t="shared" si="304"/>
        <v/>
      </c>
      <c r="BG161" s="743" t="str">
        <f t="shared" si="282"/>
        <v/>
      </c>
      <c r="BH161" s="728" t="str">
        <f t="shared" si="295"/>
        <v/>
      </c>
      <c r="BL161" s="732" t="str">
        <f t="shared" si="313"/>
        <v/>
      </c>
      <c r="BM161" s="487" t="str">
        <f t="shared" si="305"/>
        <v/>
      </c>
      <c r="BN161" s="487"/>
      <c r="BO161" s="487"/>
      <c r="BP161" s="720" t="str">
        <f t="shared" si="306"/>
        <v/>
      </c>
      <c r="BQ161" s="700"/>
      <c r="BR161" s="732" t="str">
        <f t="shared" si="307"/>
        <v/>
      </c>
      <c r="BS161" s="732" t="str">
        <f t="shared" si="308"/>
        <v/>
      </c>
      <c r="BT161" s="723" t="str">
        <f t="shared" si="309"/>
        <v/>
      </c>
      <c r="BU161" s="734" t="str">
        <f t="shared" si="288"/>
        <v/>
      </c>
      <c r="BV161" s="736" t="str">
        <f t="shared" si="310"/>
        <v/>
      </c>
      <c r="BW161" s="737" t="str">
        <f t="shared" si="290"/>
        <v/>
      </c>
      <c r="BX161" s="737" t="str">
        <f t="shared" si="311"/>
        <v/>
      </c>
      <c r="BY161" s="738" t="str">
        <f t="shared" si="292"/>
        <v/>
      </c>
      <c r="BZ161" s="730" t="str">
        <f t="shared" si="297"/>
        <v/>
      </c>
    </row>
    <row r="162" spans="46:78" ht="24.95" hidden="1" customHeight="1">
      <c r="AT162" s="488" t="str">
        <f t="shared" si="312"/>
        <v/>
      </c>
      <c r="AU162" s="488" t="str">
        <f t="shared" si="298"/>
        <v/>
      </c>
      <c r="AV162" s="488"/>
      <c r="AW162" s="739"/>
      <c r="AX162" s="720" t="str">
        <f t="shared" si="299"/>
        <v/>
      </c>
      <c r="AY162" s="275"/>
      <c r="AZ162" s="489" t="str">
        <f t="shared" si="300"/>
        <v/>
      </c>
      <c r="BA162" s="489" t="str">
        <f t="shared" si="301"/>
        <v/>
      </c>
      <c r="BB162" s="723" t="str">
        <f t="shared" si="302"/>
        <v/>
      </c>
      <c r="BC162" s="741" t="str">
        <f t="shared" si="279"/>
        <v/>
      </c>
      <c r="BD162" s="742" t="str">
        <f t="shared" si="303"/>
        <v/>
      </c>
      <c r="BE162" s="743" t="str">
        <f t="shared" si="294"/>
        <v/>
      </c>
      <c r="BF162" s="742" t="str">
        <f t="shared" si="304"/>
        <v/>
      </c>
      <c r="BG162" s="743" t="str">
        <f t="shared" si="282"/>
        <v/>
      </c>
      <c r="BH162" s="728" t="str">
        <f t="shared" si="295"/>
        <v/>
      </c>
      <c r="BL162" s="732" t="str">
        <f t="shared" si="313"/>
        <v/>
      </c>
      <c r="BM162" s="487" t="str">
        <f t="shared" si="305"/>
        <v/>
      </c>
      <c r="BN162" s="487"/>
      <c r="BO162" s="487"/>
      <c r="BP162" s="720" t="str">
        <f t="shared" si="306"/>
        <v/>
      </c>
      <c r="BQ162" s="700"/>
      <c r="BR162" s="732" t="str">
        <f t="shared" si="307"/>
        <v/>
      </c>
      <c r="BS162" s="732" t="str">
        <f t="shared" si="308"/>
        <v/>
      </c>
      <c r="BT162" s="723" t="str">
        <f t="shared" si="309"/>
        <v/>
      </c>
      <c r="BU162" s="734" t="str">
        <f t="shared" si="288"/>
        <v/>
      </c>
      <c r="BV162" s="736" t="str">
        <f t="shared" si="310"/>
        <v/>
      </c>
      <c r="BW162" s="737" t="str">
        <f t="shared" si="290"/>
        <v/>
      </c>
      <c r="BX162" s="737" t="str">
        <f t="shared" si="311"/>
        <v/>
      </c>
      <c r="BY162" s="738" t="str">
        <f t="shared" si="292"/>
        <v/>
      </c>
      <c r="BZ162" s="730" t="str">
        <f t="shared" si="297"/>
        <v/>
      </c>
    </row>
    <row r="163" spans="46:78" ht="24.95" hidden="1" customHeight="1">
      <c r="AT163" s="488" t="str">
        <f t="shared" si="312"/>
        <v/>
      </c>
      <c r="AU163" s="488" t="str">
        <f t="shared" si="298"/>
        <v/>
      </c>
      <c r="AV163" s="488"/>
      <c r="AW163" s="739"/>
      <c r="AX163" s="720" t="str">
        <f t="shared" si="299"/>
        <v/>
      </c>
      <c r="AY163" s="275"/>
      <c r="AZ163" s="489" t="str">
        <f t="shared" si="300"/>
        <v/>
      </c>
      <c r="BA163" s="489" t="str">
        <f t="shared" si="301"/>
        <v/>
      </c>
      <c r="BB163" s="723" t="str">
        <f t="shared" si="302"/>
        <v/>
      </c>
      <c r="BC163" s="741" t="str">
        <f t="shared" si="279"/>
        <v/>
      </c>
      <c r="BD163" s="742" t="str">
        <f t="shared" si="303"/>
        <v/>
      </c>
      <c r="BE163" s="743" t="str">
        <f t="shared" si="294"/>
        <v/>
      </c>
      <c r="BF163" s="742" t="str">
        <f t="shared" si="304"/>
        <v/>
      </c>
      <c r="BG163" s="743" t="str">
        <f t="shared" si="282"/>
        <v/>
      </c>
      <c r="BH163" s="728" t="str">
        <f t="shared" si="295"/>
        <v/>
      </c>
      <c r="BL163" s="732" t="str">
        <f t="shared" si="313"/>
        <v/>
      </c>
      <c r="BM163" s="487" t="str">
        <f t="shared" si="305"/>
        <v/>
      </c>
      <c r="BN163" s="487"/>
      <c r="BO163" s="487"/>
      <c r="BP163" s="720" t="str">
        <f t="shared" si="306"/>
        <v/>
      </c>
      <c r="BQ163" s="700"/>
      <c r="BR163" s="732" t="str">
        <f t="shared" si="307"/>
        <v/>
      </c>
      <c r="BS163" s="732" t="str">
        <f t="shared" si="308"/>
        <v/>
      </c>
      <c r="BT163" s="723" t="str">
        <f t="shared" si="309"/>
        <v/>
      </c>
      <c r="BU163" s="734" t="str">
        <f t="shared" si="288"/>
        <v/>
      </c>
      <c r="BV163" s="736" t="str">
        <f t="shared" si="310"/>
        <v/>
      </c>
      <c r="BW163" s="737" t="str">
        <f t="shared" si="290"/>
        <v/>
      </c>
      <c r="BX163" s="737" t="str">
        <f t="shared" si="311"/>
        <v/>
      </c>
      <c r="BY163" s="738" t="str">
        <f t="shared" si="292"/>
        <v/>
      </c>
      <c r="BZ163" s="730" t="str">
        <f t="shared" si="297"/>
        <v/>
      </c>
    </row>
    <row r="164" spans="46:78" ht="24.95" hidden="1" customHeight="1">
      <c r="AT164" s="488" t="str">
        <f t="shared" si="312"/>
        <v/>
      </c>
      <c r="AU164" s="488" t="str">
        <f t="shared" si="298"/>
        <v/>
      </c>
      <c r="AV164" s="488"/>
      <c r="AW164" s="739"/>
      <c r="AX164" s="720" t="str">
        <f t="shared" si="299"/>
        <v/>
      </c>
      <c r="AY164" s="275"/>
      <c r="AZ164" s="489" t="str">
        <f t="shared" si="300"/>
        <v/>
      </c>
      <c r="BA164" s="489" t="str">
        <f t="shared" si="301"/>
        <v/>
      </c>
      <c r="BB164" s="723" t="str">
        <f t="shared" si="302"/>
        <v/>
      </c>
      <c r="BC164" s="741" t="str">
        <f t="shared" si="279"/>
        <v/>
      </c>
      <c r="BD164" s="742" t="str">
        <f t="shared" si="303"/>
        <v/>
      </c>
      <c r="BE164" s="743" t="str">
        <f t="shared" si="294"/>
        <v/>
      </c>
      <c r="BF164" s="742" t="str">
        <f t="shared" si="304"/>
        <v/>
      </c>
      <c r="BG164" s="743" t="str">
        <f t="shared" si="282"/>
        <v/>
      </c>
      <c r="BH164" s="728" t="str">
        <f t="shared" si="295"/>
        <v/>
      </c>
      <c r="BL164" s="732" t="str">
        <f t="shared" si="313"/>
        <v/>
      </c>
      <c r="BM164" s="487" t="str">
        <f t="shared" si="305"/>
        <v/>
      </c>
      <c r="BN164" s="487"/>
      <c r="BO164" s="487"/>
      <c r="BP164" s="720" t="str">
        <f t="shared" si="306"/>
        <v/>
      </c>
      <c r="BQ164" s="700"/>
      <c r="BR164" s="732" t="str">
        <f t="shared" si="307"/>
        <v/>
      </c>
      <c r="BS164" s="732" t="str">
        <f t="shared" si="308"/>
        <v/>
      </c>
      <c r="BT164" s="723" t="str">
        <f t="shared" si="309"/>
        <v/>
      </c>
      <c r="BU164" s="734" t="str">
        <f t="shared" si="288"/>
        <v/>
      </c>
      <c r="BV164" s="736" t="str">
        <f t="shared" si="310"/>
        <v/>
      </c>
      <c r="BW164" s="737" t="str">
        <f t="shared" si="290"/>
        <v/>
      </c>
      <c r="BX164" s="737" t="str">
        <f t="shared" si="311"/>
        <v/>
      </c>
      <c r="BY164" s="738" t="str">
        <f t="shared" si="292"/>
        <v/>
      </c>
      <c r="BZ164" s="730" t="str">
        <f t="shared" si="297"/>
        <v/>
      </c>
    </row>
    <row r="165" spans="46:78" ht="24.95" hidden="1" customHeight="1">
      <c r="AT165" s="488" t="str">
        <f t="shared" si="312"/>
        <v/>
      </c>
      <c r="AU165" s="488" t="str">
        <f t="shared" si="298"/>
        <v/>
      </c>
      <c r="AV165" s="488"/>
      <c r="AW165" s="739"/>
      <c r="AX165" s="720" t="str">
        <f t="shared" si="299"/>
        <v/>
      </c>
      <c r="AY165" s="275"/>
      <c r="AZ165" s="489" t="str">
        <f t="shared" si="300"/>
        <v/>
      </c>
      <c r="BA165" s="489" t="str">
        <f t="shared" si="301"/>
        <v/>
      </c>
      <c r="BB165" s="723" t="str">
        <f t="shared" si="302"/>
        <v/>
      </c>
      <c r="BC165" s="741" t="str">
        <f t="shared" si="279"/>
        <v/>
      </c>
      <c r="BD165" s="742" t="str">
        <f t="shared" si="303"/>
        <v/>
      </c>
      <c r="BE165" s="743" t="str">
        <f t="shared" si="294"/>
        <v/>
      </c>
      <c r="BF165" s="742" t="str">
        <f t="shared" si="304"/>
        <v/>
      </c>
      <c r="BG165" s="743" t="str">
        <f t="shared" si="282"/>
        <v/>
      </c>
      <c r="BH165" s="728" t="str">
        <f t="shared" si="295"/>
        <v/>
      </c>
      <c r="BL165" s="732" t="str">
        <f t="shared" si="313"/>
        <v/>
      </c>
      <c r="BM165" s="487" t="str">
        <f t="shared" si="305"/>
        <v/>
      </c>
      <c r="BN165" s="487"/>
      <c r="BO165" s="487"/>
      <c r="BP165" s="720" t="str">
        <f t="shared" si="306"/>
        <v/>
      </c>
      <c r="BQ165" s="700"/>
      <c r="BR165" s="732" t="str">
        <f t="shared" si="307"/>
        <v/>
      </c>
      <c r="BS165" s="732" t="str">
        <f t="shared" si="308"/>
        <v/>
      </c>
      <c r="BT165" s="723" t="str">
        <f t="shared" si="309"/>
        <v/>
      </c>
      <c r="BU165" s="734" t="str">
        <f t="shared" si="288"/>
        <v/>
      </c>
      <c r="BV165" s="736" t="str">
        <f t="shared" si="310"/>
        <v/>
      </c>
      <c r="BW165" s="737" t="str">
        <f t="shared" si="290"/>
        <v/>
      </c>
      <c r="BX165" s="737" t="str">
        <f t="shared" si="311"/>
        <v/>
      </c>
      <c r="BY165" s="738" t="str">
        <f t="shared" si="292"/>
        <v/>
      </c>
      <c r="BZ165" s="730" t="str">
        <f t="shared" si="297"/>
        <v/>
      </c>
    </row>
    <row r="166" spans="46:78" ht="24.95" hidden="1" customHeight="1">
      <c r="AT166" s="488" t="str">
        <f t="shared" si="312"/>
        <v/>
      </c>
      <c r="AU166" s="488" t="str">
        <f t="shared" si="298"/>
        <v/>
      </c>
      <c r="AV166" s="488"/>
      <c r="AW166" s="739"/>
      <c r="AX166" s="720" t="str">
        <f t="shared" si="299"/>
        <v/>
      </c>
      <c r="AY166" s="275"/>
      <c r="AZ166" s="489" t="str">
        <f t="shared" si="300"/>
        <v/>
      </c>
      <c r="BA166" s="489" t="str">
        <f t="shared" si="301"/>
        <v/>
      </c>
      <c r="BB166" s="723" t="str">
        <f t="shared" si="302"/>
        <v/>
      </c>
      <c r="BC166" s="741" t="str">
        <f t="shared" si="279"/>
        <v/>
      </c>
      <c r="BD166" s="742" t="str">
        <f t="shared" si="303"/>
        <v/>
      </c>
      <c r="BE166" s="743" t="str">
        <f t="shared" si="294"/>
        <v/>
      </c>
      <c r="BF166" s="742" t="str">
        <f t="shared" si="304"/>
        <v/>
      </c>
      <c r="BG166" s="743" t="str">
        <f t="shared" si="282"/>
        <v/>
      </c>
      <c r="BH166" s="728" t="str">
        <f t="shared" si="295"/>
        <v/>
      </c>
      <c r="BL166" s="732" t="str">
        <f t="shared" si="313"/>
        <v/>
      </c>
      <c r="BM166" s="487" t="str">
        <f t="shared" si="305"/>
        <v/>
      </c>
      <c r="BN166" s="487"/>
      <c r="BO166" s="487"/>
      <c r="BP166" s="720" t="str">
        <f t="shared" si="306"/>
        <v/>
      </c>
      <c r="BQ166" s="700"/>
      <c r="BR166" s="732" t="str">
        <f t="shared" si="307"/>
        <v/>
      </c>
      <c r="BS166" s="732" t="str">
        <f t="shared" si="308"/>
        <v/>
      </c>
      <c r="BT166" s="723" t="str">
        <f t="shared" si="309"/>
        <v/>
      </c>
      <c r="BU166" s="734" t="str">
        <f t="shared" si="288"/>
        <v/>
      </c>
      <c r="BV166" s="736" t="str">
        <f t="shared" si="310"/>
        <v/>
      </c>
      <c r="BW166" s="737" t="str">
        <f t="shared" si="290"/>
        <v/>
      </c>
      <c r="BX166" s="737" t="str">
        <f t="shared" si="311"/>
        <v/>
      </c>
      <c r="BY166" s="738" t="str">
        <f t="shared" si="292"/>
        <v/>
      </c>
      <c r="BZ166" s="730" t="str">
        <f t="shared" si="297"/>
        <v/>
      </c>
    </row>
    <row r="167" spans="46:78" ht="24.95" hidden="1" customHeight="1">
      <c r="AT167" s="488" t="str">
        <f t="shared" si="312"/>
        <v/>
      </c>
      <c r="AU167" s="488" t="str">
        <f t="shared" si="298"/>
        <v/>
      </c>
      <c r="AV167" s="488"/>
      <c r="AW167" s="739"/>
      <c r="AX167" s="720" t="str">
        <f t="shared" si="299"/>
        <v/>
      </c>
      <c r="AY167" s="275"/>
      <c r="AZ167" s="489" t="str">
        <f t="shared" si="300"/>
        <v/>
      </c>
      <c r="BA167" s="489" t="str">
        <f t="shared" si="301"/>
        <v/>
      </c>
      <c r="BB167" s="723" t="str">
        <f t="shared" si="302"/>
        <v/>
      </c>
      <c r="BC167" s="741" t="str">
        <f t="shared" si="279"/>
        <v/>
      </c>
      <c r="BD167" s="742" t="str">
        <f t="shared" si="303"/>
        <v/>
      </c>
      <c r="BE167" s="743" t="str">
        <f t="shared" si="294"/>
        <v/>
      </c>
      <c r="BF167" s="742" t="str">
        <f t="shared" si="304"/>
        <v/>
      </c>
      <c r="BG167" s="743" t="str">
        <f t="shared" si="282"/>
        <v/>
      </c>
      <c r="BH167" s="728" t="str">
        <f t="shared" si="295"/>
        <v/>
      </c>
      <c r="BL167" s="732" t="str">
        <f t="shared" si="313"/>
        <v/>
      </c>
      <c r="BM167" s="487" t="str">
        <f t="shared" si="305"/>
        <v/>
      </c>
      <c r="BN167" s="487"/>
      <c r="BO167" s="487"/>
      <c r="BP167" s="720" t="str">
        <f t="shared" si="306"/>
        <v/>
      </c>
      <c r="BQ167" s="700"/>
      <c r="BR167" s="732" t="str">
        <f t="shared" si="307"/>
        <v/>
      </c>
      <c r="BS167" s="732" t="str">
        <f t="shared" si="308"/>
        <v/>
      </c>
      <c r="BT167" s="723" t="str">
        <f t="shared" si="309"/>
        <v/>
      </c>
      <c r="BU167" s="734" t="str">
        <f t="shared" si="288"/>
        <v/>
      </c>
      <c r="BV167" s="736" t="str">
        <f t="shared" si="310"/>
        <v/>
      </c>
      <c r="BW167" s="737" t="str">
        <f t="shared" si="290"/>
        <v/>
      </c>
      <c r="BX167" s="737" t="str">
        <f t="shared" si="311"/>
        <v/>
      </c>
      <c r="BY167" s="738" t="str">
        <f t="shared" si="292"/>
        <v/>
      </c>
      <c r="BZ167" s="730" t="str">
        <f t="shared" si="297"/>
        <v/>
      </c>
    </row>
    <row r="168" spans="46:78" ht="24.95" hidden="1" customHeight="1">
      <c r="AT168" s="488" t="str">
        <f t="shared" si="312"/>
        <v/>
      </c>
      <c r="AU168" s="488" t="str">
        <f t="shared" si="298"/>
        <v/>
      </c>
      <c r="AV168" s="488"/>
      <c r="AW168" s="739"/>
      <c r="AX168" s="720" t="str">
        <f t="shared" si="299"/>
        <v/>
      </c>
      <c r="AY168" s="275"/>
      <c r="AZ168" s="489" t="str">
        <f t="shared" si="300"/>
        <v/>
      </c>
      <c r="BA168" s="489" t="str">
        <f t="shared" si="301"/>
        <v/>
      </c>
      <c r="BB168" s="723" t="str">
        <f t="shared" si="302"/>
        <v/>
      </c>
      <c r="BC168" s="741" t="str">
        <f t="shared" si="279"/>
        <v/>
      </c>
      <c r="BD168" s="742" t="str">
        <f t="shared" si="303"/>
        <v/>
      </c>
      <c r="BE168" s="743" t="str">
        <f t="shared" si="294"/>
        <v/>
      </c>
      <c r="BF168" s="742" t="str">
        <f t="shared" si="304"/>
        <v/>
      </c>
      <c r="BG168" s="743" t="str">
        <f t="shared" si="282"/>
        <v/>
      </c>
      <c r="BH168" s="728" t="str">
        <f t="shared" si="295"/>
        <v/>
      </c>
      <c r="BL168" s="732" t="str">
        <f t="shared" si="313"/>
        <v/>
      </c>
      <c r="BM168" s="487" t="str">
        <f t="shared" si="305"/>
        <v/>
      </c>
      <c r="BN168" s="487"/>
      <c r="BO168" s="487"/>
      <c r="BP168" s="720" t="str">
        <f t="shared" si="306"/>
        <v/>
      </c>
      <c r="BQ168" s="700"/>
      <c r="BR168" s="732" t="str">
        <f t="shared" si="307"/>
        <v/>
      </c>
      <c r="BS168" s="732" t="str">
        <f t="shared" si="308"/>
        <v/>
      </c>
      <c r="BT168" s="723" t="str">
        <f t="shared" si="309"/>
        <v/>
      </c>
      <c r="BU168" s="734" t="str">
        <f t="shared" si="288"/>
        <v/>
      </c>
      <c r="BV168" s="736" t="str">
        <f t="shared" si="310"/>
        <v/>
      </c>
      <c r="BW168" s="737" t="str">
        <f t="shared" si="290"/>
        <v/>
      </c>
      <c r="BX168" s="737" t="str">
        <f t="shared" si="311"/>
        <v/>
      </c>
      <c r="BY168" s="738" t="str">
        <f t="shared" si="292"/>
        <v/>
      </c>
      <c r="BZ168" s="730" t="str">
        <f t="shared" si="297"/>
        <v/>
      </c>
    </row>
    <row r="169" spans="46:78" ht="24.95" hidden="1" customHeight="1">
      <c r="AT169" s="488" t="str">
        <f t="shared" si="312"/>
        <v/>
      </c>
      <c r="AU169" s="488" t="str">
        <f t="shared" si="298"/>
        <v/>
      </c>
      <c r="AV169" s="488"/>
      <c r="AW169" s="739"/>
      <c r="AX169" s="720" t="str">
        <f t="shared" si="299"/>
        <v/>
      </c>
      <c r="AY169" s="275"/>
      <c r="AZ169" s="489" t="str">
        <f t="shared" si="300"/>
        <v/>
      </c>
      <c r="BA169" s="489" t="str">
        <f t="shared" si="301"/>
        <v/>
      </c>
      <c r="BB169" s="723" t="str">
        <f t="shared" si="302"/>
        <v/>
      </c>
      <c r="BC169" s="741" t="str">
        <f t="shared" si="279"/>
        <v/>
      </c>
      <c r="BD169" s="742" t="str">
        <f t="shared" si="303"/>
        <v/>
      </c>
      <c r="BE169" s="743" t="str">
        <f t="shared" si="294"/>
        <v/>
      </c>
      <c r="BF169" s="742" t="str">
        <f t="shared" si="304"/>
        <v/>
      </c>
      <c r="BG169" s="743" t="str">
        <f t="shared" si="282"/>
        <v/>
      </c>
      <c r="BH169" s="728" t="str">
        <f t="shared" si="295"/>
        <v/>
      </c>
      <c r="BL169" s="732" t="str">
        <f t="shared" si="313"/>
        <v/>
      </c>
      <c r="BM169" s="487" t="str">
        <f t="shared" si="305"/>
        <v/>
      </c>
      <c r="BN169" s="487"/>
      <c r="BO169" s="487"/>
      <c r="BP169" s="720" t="str">
        <f t="shared" si="306"/>
        <v/>
      </c>
      <c r="BQ169" s="700"/>
      <c r="BR169" s="732" t="str">
        <f t="shared" si="307"/>
        <v/>
      </c>
      <c r="BS169" s="732" t="str">
        <f t="shared" si="308"/>
        <v/>
      </c>
      <c r="BT169" s="723" t="str">
        <f t="shared" si="309"/>
        <v/>
      </c>
      <c r="BU169" s="734" t="str">
        <f t="shared" si="288"/>
        <v/>
      </c>
      <c r="BV169" s="736" t="str">
        <f t="shared" si="310"/>
        <v/>
      </c>
      <c r="BW169" s="737" t="str">
        <f t="shared" si="290"/>
        <v/>
      </c>
      <c r="BX169" s="737" t="str">
        <f t="shared" si="311"/>
        <v/>
      </c>
      <c r="BY169" s="738" t="str">
        <f t="shared" si="292"/>
        <v/>
      </c>
      <c r="BZ169" s="730" t="str">
        <f t="shared" si="297"/>
        <v/>
      </c>
    </row>
    <row r="170" spans="46:78" ht="24.95" hidden="1" customHeight="1">
      <c r="AT170" s="488" t="str">
        <f t="shared" si="312"/>
        <v/>
      </c>
      <c r="AU170" s="488" t="str">
        <f t="shared" si="298"/>
        <v/>
      </c>
      <c r="AV170" s="488"/>
      <c r="AW170" s="739"/>
      <c r="AX170" s="720" t="str">
        <f t="shared" si="299"/>
        <v/>
      </c>
      <c r="AY170" s="275"/>
      <c r="AZ170" s="489" t="str">
        <f t="shared" si="300"/>
        <v/>
      </c>
      <c r="BA170" s="489" t="str">
        <f t="shared" si="301"/>
        <v/>
      </c>
      <c r="BB170" s="723" t="str">
        <f t="shared" si="302"/>
        <v/>
      </c>
      <c r="BC170" s="741" t="str">
        <f t="shared" si="279"/>
        <v/>
      </c>
      <c r="BD170" s="742" t="str">
        <f t="shared" si="303"/>
        <v/>
      </c>
      <c r="BE170" s="743" t="str">
        <f t="shared" si="294"/>
        <v/>
      </c>
      <c r="BF170" s="742" t="str">
        <f t="shared" si="304"/>
        <v/>
      </c>
      <c r="BG170" s="743" t="str">
        <f t="shared" si="282"/>
        <v/>
      </c>
      <c r="BH170" s="728" t="str">
        <f t="shared" si="295"/>
        <v/>
      </c>
      <c r="BL170" s="732" t="str">
        <f t="shared" si="313"/>
        <v/>
      </c>
      <c r="BM170" s="487" t="str">
        <f t="shared" si="305"/>
        <v/>
      </c>
      <c r="BN170" s="487"/>
      <c r="BO170" s="487"/>
      <c r="BP170" s="720" t="str">
        <f t="shared" si="306"/>
        <v/>
      </c>
      <c r="BQ170" s="700"/>
      <c r="BR170" s="732" t="str">
        <f t="shared" si="307"/>
        <v/>
      </c>
      <c r="BS170" s="732" t="str">
        <f t="shared" si="308"/>
        <v/>
      </c>
      <c r="BT170" s="723" t="str">
        <f t="shared" si="309"/>
        <v/>
      </c>
      <c r="BU170" s="734" t="str">
        <f t="shared" si="288"/>
        <v/>
      </c>
      <c r="BV170" s="736" t="str">
        <f t="shared" si="310"/>
        <v/>
      </c>
      <c r="BW170" s="737" t="str">
        <f t="shared" si="290"/>
        <v/>
      </c>
      <c r="BX170" s="737" t="str">
        <f t="shared" si="311"/>
        <v/>
      </c>
      <c r="BY170" s="738" t="str">
        <f t="shared" si="292"/>
        <v/>
      </c>
      <c r="BZ170" s="730" t="str">
        <f t="shared" si="297"/>
        <v/>
      </c>
    </row>
    <row r="171" spans="46:78" ht="24.95" hidden="1" customHeight="1">
      <c r="AT171" s="488" t="str">
        <f t="shared" si="312"/>
        <v/>
      </c>
      <c r="AU171" s="488" t="str">
        <f t="shared" si="298"/>
        <v/>
      </c>
      <c r="AV171" s="488"/>
      <c r="AW171" s="739"/>
      <c r="AX171" s="720" t="str">
        <f t="shared" si="299"/>
        <v/>
      </c>
      <c r="AY171" s="275"/>
      <c r="AZ171" s="489" t="str">
        <f t="shared" si="300"/>
        <v/>
      </c>
      <c r="BA171" s="489" t="str">
        <f t="shared" si="301"/>
        <v/>
      </c>
      <c r="BB171" s="723" t="str">
        <f t="shared" si="302"/>
        <v/>
      </c>
      <c r="BC171" s="741" t="str">
        <f t="shared" si="279"/>
        <v/>
      </c>
      <c r="BD171" s="742" t="str">
        <f t="shared" si="303"/>
        <v/>
      </c>
      <c r="BE171" s="743" t="str">
        <f t="shared" si="294"/>
        <v/>
      </c>
      <c r="BF171" s="742" t="str">
        <f t="shared" si="304"/>
        <v/>
      </c>
      <c r="BG171" s="743" t="str">
        <f t="shared" si="282"/>
        <v/>
      </c>
      <c r="BH171" s="728" t="str">
        <f t="shared" si="295"/>
        <v/>
      </c>
      <c r="BL171" s="732" t="str">
        <f t="shared" si="313"/>
        <v/>
      </c>
      <c r="BM171" s="487" t="str">
        <f t="shared" si="305"/>
        <v/>
      </c>
      <c r="BN171" s="487"/>
      <c r="BO171" s="487"/>
      <c r="BP171" s="720" t="str">
        <f t="shared" si="306"/>
        <v/>
      </c>
      <c r="BQ171" s="700"/>
      <c r="BR171" s="732" t="str">
        <f t="shared" si="307"/>
        <v/>
      </c>
      <c r="BS171" s="732" t="str">
        <f t="shared" si="308"/>
        <v/>
      </c>
      <c r="BT171" s="723" t="str">
        <f t="shared" si="309"/>
        <v/>
      </c>
      <c r="BU171" s="734" t="str">
        <f t="shared" si="288"/>
        <v/>
      </c>
      <c r="BV171" s="736" t="str">
        <f t="shared" si="310"/>
        <v/>
      </c>
      <c r="BW171" s="737" t="str">
        <f t="shared" si="290"/>
        <v/>
      </c>
      <c r="BX171" s="737" t="str">
        <f t="shared" si="311"/>
        <v/>
      </c>
      <c r="BY171" s="738" t="str">
        <f t="shared" si="292"/>
        <v/>
      </c>
      <c r="BZ171" s="730" t="str">
        <f t="shared" si="297"/>
        <v/>
      </c>
    </row>
    <row r="172" spans="46:78" ht="24.95" hidden="1" customHeight="1">
      <c r="AT172" s="488" t="str">
        <f t="shared" si="312"/>
        <v/>
      </c>
      <c r="AU172" s="488" t="str">
        <f t="shared" si="298"/>
        <v/>
      </c>
      <c r="AV172" s="488"/>
      <c r="AW172" s="739"/>
      <c r="AX172" s="720" t="str">
        <f t="shared" si="299"/>
        <v/>
      </c>
      <c r="AY172" s="275"/>
      <c r="AZ172" s="489" t="str">
        <f t="shared" si="300"/>
        <v/>
      </c>
      <c r="BA172" s="489" t="str">
        <f t="shared" si="301"/>
        <v/>
      </c>
      <c r="BB172" s="723" t="str">
        <f t="shared" si="302"/>
        <v/>
      </c>
      <c r="BC172" s="741" t="str">
        <f t="shared" si="279"/>
        <v/>
      </c>
      <c r="BD172" s="742" t="str">
        <f t="shared" si="303"/>
        <v/>
      </c>
      <c r="BE172" s="743" t="str">
        <f t="shared" si="294"/>
        <v/>
      </c>
      <c r="BF172" s="742" t="str">
        <f t="shared" si="304"/>
        <v/>
      </c>
      <c r="BG172" s="743" t="str">
        <f t="shared" si="282"/>
        <v/>
      </c>
      <c r="BH172" s="728" t="str">
        <f t="shared" si="295"/>
        <v/>
      </c>
      <c r="BL172" s="732" t="str">
        <f t="shared" si="313"/>
        <v/>
      </c>
      <c r="BM172" s="487" t="str">
        <f t="shared" si="305"/>
        <v/>
      </c>
      <c r="BN172" s="487"/>
      <c r="BO172" s="487"/>
      <c r="BP172" s="720" t="str">
        <f t="shared" si="306"/>
        <v/>
      </c>
      <c r="BQ172" s="700"/>
      <c r="BR172" s="732" t="str">
        <f t="shared" si="307"/>
        <v/>
      </c>
      <c r="BS172" s="732" t="str">
        <f t="shared" si="308"/>
        <v/>
      </c>
      <c r="BT172" s="723" t="str">
        <f t="shared" si="309"/>
        <v/>
      </c>
      <c r="BU172" s="734" t="str">
        <f t="shared" si="288"/>
        <v/>
      </c>
      <c r="BV172" s="736" t="str">
        <f t="shared" si="310"/>
        <v/>
      </c>
      <c r="BW172" s="737" t="str">
        <f t="shared" si="290"/>
        <v/>
      </c>
      <c r="BX172" s="737" t="str">
        <f t="shared" si="311"/>
        <v/>
      </c>
      <c r="BY172" s="738" t="str">
        <f t="shared" si="292"/>
        <v/>
      </c>
      <c r="BZ172" s="730" t="str">
        <f t="shared" si="297"/>
        <v/>
      </c>
    </row>
    <row r="173" spans="46:78" ht="24.95" hidden="1" customHeight="1">
      <c r="AT173" s="488" t="str">
        <f t="shared" si="312"/>
        <v/>
      </c>
      <c r="AU173" s="488" t="str">
        <f t="shared" si="298"/>
        <v/>
      </c>
      <c r="AV173" s="488"/>
      <c r="AW173" s="739"/>
      <c r="AX173" s="720" t="str">
        <f t="shared" si="299"/>
        <v/>
      </c>
      <c r="AY173" s="275"/>
      <c r="AZ173" s="489" t="str">
        <f t="shared" si="300"/>
        <v/>
      </c>
      <c r="BA173" s="489" t="str">
        <f t="shared" si="301"/>
        <v/>
      </c>
      <c r="BB173" s="723" t="str">
        <f t="shared" si="302"/>
        <v/>
      </c>
      <c r="BC173" s="741" t="str">
        <f t="shared" si="279"/>
        <v/>
      </c>
      <c r="BD173" s="742" t="str">
        <f t="shared" si="303"/>
        <v/>
      </c>
      <c r="BE173" s="743" t="str">
        <f t="shared" si="294"/>
        <v/>
      </c>
      <c r="BF173" s="742" t="str">
        <f t="shared" si="304"/>
        <v/>
      </c>
      <c r="BG173" s="743" t="str">
        <f t="shared" si="282"/>
        <v/>
      </c>
      <c r="BH173" s="728" t="str">
        <f t="shared" si="295"/>
        <v/>
      </c>
      <c r="BL173" s="732" t="str">
        <f t="shared" si="313"/>
        <v/>
      </c>
      <c r="BM173" s="487" t="str">
        <f t="shared" si="305"/>
        <v/>
      </c>
      <c r="BN173" s="487"/>
      <c r="BO173" s="487"/>
      <c r="BP173" s="720" t="str">
        <f t="shared" si="306"/>
        <v/>
      </c>
      <c r="BQ173" s="700"/>
      <c r="BR173" s="732" t="str">
        <f t="shared" si="307"/>
        <v/>
      </c>
      <c r="BS173" s="732" t="str">
        <f t="shared" si="308"/>
        <v/>
      </c>
      <c r="BT173" s="723" t="str">
        <f t="shared" si="309"/>
        <v/>
      </c>
      <c r="BU173" s="734" t="str">
        <f t="shared" si="288"/>
        <v/>
      </c>
      <c r="BV173" s="736" t="str">
        <f t="shared" si="310"/>
        <v/>
      </c>
      <c r="BW173" s="737" t="str">
        <f t="shared" si="290"/>
        <v/>
      </c>
      <c r="BX173" s="737" t="str">
        <f t="shared" si="311"/>
        <v/>
      </c>
      <c r="BY173" s="738" t="str">
        <f t="shared" si="292"/>
        <v/>
      </c>
      <c r="BZ173" s="730" t="str">
        <f t="shared" si="297"/>
        <v/>
      </c>
    </row>
    <row r="174" spans="46:78" ht="24.95" hidden="1" customHeight="1">
      <c r="AT174" s="488" t="str">
        <f t="shared" si="312"/>
        <v/>
      </c>
      <c r="AU174" s="488" t="str">
        <f t="shared" si="298"/>
        <v/>
      </c>
      <c r="AV174" s="488"/>
      <c r="AW174" s="739"/>
      <c r="AX174" s="720" t="str">
        <f t="shared" si="299"/>
        <v/>
      </c>
      <c r="AY174" s="275"/>
      <c r="AZ174" s="489" t="str">
        <f t="shared" si="300"/>
        <v/>
      </c>
      <c r="BA174" s="489" t="str">
        <f t="shared" si="301"/>
        <v/>
      </c>
      <c r="BB174" s="723" t="str">
        <f t="shared" si="302"/>
        <v/>
      </c>
      <c r="BC174" s="741" t="str">
        <f t="shared" si="279"/>
        <v/>
      </c>
      <c r="BD174" s="742" t="str">
        <f t="shared" si="303"/>
        <v/>
      </c>
      <c r="BE174" s="743" t="str">
        <f t="shared" si="294"/>
        <v/>
      </c>
      <c r="BF174" s="742" t="str">
        <f t="shared" si="304"/>
        <v/>
      </c>
      <c r="BG174" s="743" t="str">
        <f t="shared" si="282"/>
        <v/>
      </c>
      <c r="BH174" s="728" t="str">
        <f t="shared" si="295"/>
        <v/>
      </c>
      <c r="BL174" s="732" t="str">
        <f t="shared" si="313"/>
        <v/>
      </c>
      <c r="BM174" s="487" t="str">
        <f t="shared" si="305"/>
        <v/>
      </c>
      <c r="BN174" s="487"/>
      <c r="BO174" s="487"/>
      <c r="BP174" s="720" t="str">
        <f t="shared" si="306"/>
        <v/>
      </c>
      <c r="BQ174" s="700"/>
      <c r="BR174" s="732" t="str">
        <f t="shared" si="307"/>
        <v/>
      </c>
      <c r="BS174" s="732" t="str">
        <f t="shared" si="308"/>
        <v/>
      </c>
      <c r="BT174" s="723" t="str">
        <f t="shared" si="309"/>
        <v/>
      </c>
      <c r="BU174" s="734" t="str">
        <f t="shared" si="288"/>
        <v/>
      </c>
      <c r="BV174" s="736" t="str">
        <f t="shared" si="310"/>
        <v/>
      </c>
      <c r="BW174" s="737" t="str">
        <f t="shared" si="290"/>
        <v/>
      </c>
      <c r="BX174" s="737" t="str">
        <f t="shared" si="311"/>
        <v/>
      </c>
      <c r="BY174" s="738" t="str">
        <f t="shared" si="292"/>
        <v/>
      </c>
      <c r="BZ174" s="730" t="str">
        <f t="shared" si="297"/>
        <v/>
      </c>
    </row>
    <row r="175" spans="46:78" ht="24.95" hidden="1" customHeight="1">
      <c r="AT175" s="488" t="str">
        <f t="shared" si="312"/>
        <v/>
      </c>
      <c r="AU175" s="488" t="str">
        <f t="shared" si="298"/>
        <v/>
      </c>
      <c r="AV175" s="488"/>
      <c r="AW175" s="739"/>
      <c r="AX175" s="720" t="str">
        <f t="shared" si="299"/>
        <v/>
      </c>
      <c r="AY175" s="275"/>
      <c r="AZ175" s="489" t="str">
        <f t="shared" si="300"/>
        <v/>
      </c>
      <c r="BA175" s="489" t="str">
        <f t="shared" si="301"/>
        <v/>
      </c>
      <c r="BB175" s="723" t="str">
        <f t="shared" si="302"/>
        <v/>
      </c>
      <c r="BC175" s="741" t="str">
        <f t="shared" si="279"/>
        <v/>
      </c>
      <c r="BD175" s="742" t="str">
        <f t="shared" si="303"/>
        <v/>
      </c>
      <c r="BE175" s="743" t="str">
        <f t="shared" si="294"/>
        <v/>
      </c>
      <c r="BF175" s="742" t="str">
        <f t="shared" si="304"/>
        <v/>
      </c>
      <c r="BG175" s="743" t="str">
        <f t="shared" si="282"/>
        <v/>
      </c>
      <c r="BH175" s="728" t="str">
        <f t="shared" si="295"/>
        <v/>
      </c>
      <c r="BL175" s="732" t="str">
        <f t="shared" si="313"/>
        <v/>
      </c>
      <c r="BM175" s="487" t="str">
        <f t="shared" si="305"/>
        <v/>
      </c>
      <c r="BN175" s="487"/>
      <c r="BO175" s="487"/>
      <c r="BP175" s="720" t="str">
        <f t="shared" si="306"/>
        <v/>
      </c>
      <c r="BQ175" s="700"/>
      <c r="BR175" s="732" t="str">
        <f t="shared" si="307"/>
        <v/>
      </c>
      <c r="BS175" s="732" t="str">
        <f t="shared" si="308"/>
        <v/>
      </c>
      <c r="BT175" s="723" t="str">
        <f t="shared" si="309"/>
        <v/>
      </c>
      <c r="BU175" s="734" t="str">
        <f t="shared" si="288"/>
        <v/>
      </c>
      <c r="BV175" s="736" t="str">
        <f t="shared" si="310"/>
        <v/>
      </c>
      <c r="BW175" s="737" t="str">
        <f t="shared" si="290"/>
        <v/>
      </c>
      <c r="BX175" s="737" t="str">
        <f t="shared" si="311"/>
        <v/>
      </c>
      <c r="BY175" s="738" t="str">
        <f t="shared" si="292"/>
        <v/>
      </c>
      <c r="BZ175" s="730" t="str">
        <f t="shared" si="297"/>
        <v/>
      </c>
    </row>
    <row r="176" spans="46:78" ht="24.95" hidden="1" customHeight="1">
      <c r="AT176" s="488" t="str">
        <f t="shared" si="312"/>
        <v/>
      </c>
      <c r="AU176" s="488" t="str">
        <f t="shared" si="298"/>
        <v/>
      </c>
      <c r="AV176" s="488"/>
      <c r="AW176" s="739"/>
      <c r="AX176" s="720" t="str">
        <f t="shared" si="299"/>
        <v/>
      </c>
      <c r="AY176" s="275"/>
      <c r="AZ176" s="489" t="str">
        <f t="shared" si="300"/>
        <v/>
      </c>
      <c r="BA176" s="489" t="str">
        <f t="shared" si="301"/>
        <v/>
      </c>
      <c r="BB176" s="723" t="str">
        <f t="shared" si="302"/>
        <v/>
      </c>
      <c r="BC176" s="741" t="str">
        <f t="shared" si="279"/>
        <v/>
      </c>
      <c r="BD176" s="742" t="str">
        <f t="shared" si="303"/>
        <v/>
      </c>
      <c r="BE176" s="743" t="str">
        <f t="shared" si="294"/>
        <v/>
      </c>
      <c r="BF176" s="742" t="str">
        <f t="shared" si="304"/>
        <v/>
      </c>
      <c r="BG176" s="743" t="str">
        <f t="shared" si="282"/>
        <v/>
      </c>
      <c r="BH176" s="728" t="str">
        <f t="shared" si="295"/>
        <v/>
      </c>
      <c r="BL176" s="732" t="str">
        <f t="shared" si="313"/>
        <v/>
      </c>
      <c r="BM176" s="487" t="str">
        <f t="shared" si="305"/>
        <v/>
      </c>
      <c r="BN176" s="487"/>
      <c r="BO176" s="487"/>
      <c r="BP176" s="720" t="str">
        <f t="shared" si="306"/>
        <v/>
      </c>
      <c r="BQ176" s="700"/>
      <c r="BR176" s="732" t="str">
        <f t="shared" si="307"/>
        <v/>
      </c>
      <c r="BS176" s="732" t="str">
        <f t="shared" si="308"/>
        <v/>
      </c>
      <c r="BT176" s="723" t="str">
        <f t="shared" si="309"/>
        <v/>
      </c>
      <c r="BU176" s="734" t="str">
        <f t="shared" si="288"/>
        <v/>
      </c>
      <c r="BV176" s="736" t="str">
        <f t="shared" si="310"/>
        <v/>
      </c>
      <c r="BW176" s="737" t="str">
        <f t="shared" si="290"/>
        <v/>
      </c>
      <c r="BX176" s="737" t="str">
        <f t="shared" si="311"/>
        <v/>
      </c>
      <c r="BY176" s="738" t="str">
        <f t="shared" si="292"/>
        <v/>
      </c>
      <c r="BZ176" s="730" t="str">
        <f t="shared" si="297"/>
        <v/>
      </c>
    </row>
    <row r="177" spans="46:78" ht="24.95" hidden="1" customHeight="1">
      <c r="AT177" s="488" t="str">
        <f t="shared" si="312"/>
        <v/>
      </c>
      <c r="AU177" s="488" t="str">
        <f t="shared" si="298"/>
        <v/>
      </c>
      <c r="AV177" s="488"/>
      <c r="AW177" s="739"/>
      <c r="AX177" s="720" t="str">
        <f t="shared" si="299"/>
        <v/>
      </c>
      <c r="AY177" s="275"/>
      <c r="AZ177" s="489" t="str">
        <f t="shared" si="300"/>
        <v/>
      </c>
      <c r="BA177" s="489" t="str">
        <f t="shared" si="301"/>
        <v/>
      </c>
      <c r="BB177" s="723" t="str">
        <f t="shared" si="302"/>
        <v/>
      </c>
      <c r="BC177" s="741" t="str">
        <f t="shared" si="279"/>
        <v/>
      </c>
      <c r="BD177" s="742" t="str">
        <f t="shared" si="303"/>
        <v/>
      </c>
      <c r="BE177" s="743" t="str">
        <f t="shared" si="294"/>
        <v/>
      </c>
      <c r="BF177" s="742" t="str">
        <f t="shared" si="304"/>
        <v/>
      </c>
      <c r="BG177" s="743" t="str">
        <f t="shared" si="282"/>
        <v/>
      </c>
      <c r="BH177" s="728" t="str">
        <f t="shared" si="295"/>
        <v/>
      </c>
      <c r="BL177" s="732" t="str">
        <f t="shared" si="313"/>
        <v/>
      </c>
      <c r="BM177" s="487" t="str">
        <f t="shared" si="305"/>
        <v/>
      </c>
      <c r="BN177" s="487"/>
      <c r="BO177" s="487"/>
      <c r="BP177" s="720" t="str">
        <f t="shared" si="306"/>
        <v/>
      </c>
      <c r="BQ177" s="700"/>
      <c r="BR177" s="732" t="str">
        <f t="shared" si="307"/>
        <v/>
      </c>
      <c r="BS177" s="732" t="str">
        <f t="shared" si="308"/>
        <v/>
      </c>
      <c r="BT177" s="723" t="str">
        <f t="shared" si="309"/>
        <v/>
      </c>
      <c r="BU177" s="734" t="str">
        <f t="shared" si="288"/>
        <v/>
      </c>
      <c r="BV177" s="736" t="str">
        <f t="shared" si="310"/>
        <v/>
      </c>
      <c r="BW177" s="737" t="str">
        <f t="shared" si="290"/>
        <v/>
      </c>
      <c r="BX177" s="737" t="str">
        <f t="shared" si="311"/>
        <v/>
      </c>
      <c r="BY177" s="738" t="str">
        <f t="shared" si="292"/>
        <v/>
      </c>
      <c r="BZ177" s="730" t="str">
        <f t="shared" si="297"/>
        <v/>
      </c>
    </row>
    <row r="178" spans="46:78" ht="24.95" hidden="1" customHeight="1">
      <c r="AT178" s="488" t="str">
        <f t="shared" si="312"/>
        <v/>
      </c>
      <c r="AU178" s="488" t="str">
        <f t="shared" si="298"/>
        <v/>
      </c>
      <c r="AV178" s="488"/>
      <c r="AW178" s="739"/>
      <c r="AX178" s="720" t="str">
        <f t="shared" si="299"/>
        <v/>
      </c>
      <c r="AY178" s="275"/>
      <c r="AZ178" s="489" t="str">
        <f t="shared" si="300"/>
        <v/>
      </c>
      <c r="BA178" s="489" t="str">
        <f t="shared" si="301"/>
        <v/>
      </c>
      <c r="BB178" s="723" t="str">
        <f t="shared" si="302"/>
        <v/>
      </c>
      <c r="BC178" s="741" t="str">
        <f t="shared" si="279"/>
        <v/>
      </c>
      <c r="BD178" s="742" t="str">
        <f t="shared" si="303"/>
        <v/>
      </c>
      <c r="BE178" s="743" t="str">
        <f t="shared" si="294"/>
        <v/>
      </c>
      <c r="BF178" s="742" t="str">
        <f t="shared" si="304"/>
        <v/>
      </c>
      <c r="BG178" s="743" t="str">
        <f t="shared" si="282"/>
        <v/>
      </c>
      <c r="BH178" s="728" t="str">
        <f t="shared" si="295"/>
        <v/>
      </c>
      <c r="BL178" s="732" t="str">
        <f t="shared" si="313"/>
        <v/>
      </c>
      <c r="BM178" s="487" t="str">
        <f t="shared" si="305"/>
        <v/>
      </c>
      <c r="BN178" s="487"/>
      <c r="BO178" s="487"/>
      <c r="BP178" s="720" t="str">
        <f t="shared" si="306"/>
        <v/>
      </c>
      <c r="BQ178" s="700"/>
      <c r="BR178" s="732" t="str">
        <f t="shared" si="307"/>
        <v/>
      </c>
      <c r="BS178" s="732" t="str">
        <f t="shared" si="308"/>
        <v/>
      </c>
      <c r="BT178" s="723" t="str">
        <f t="shared" si="309"/>
        <v/>
      </c>
      <c r="BU178" s="734" t="str">
        <f t="shared" si="288"/>
        <v/>
      </c>
      <c r="BV178" s="736" t="str">
        <f t="shared" si="310"/>
        <v/>
      </c>
      <c r="BW178" s="737" t="str">
        <f t="shared" si="290"/>
        <v/>
      </c>
      <c r="BX178" s="737" t="str">
        <f t="shared" si="311"/>
        <v/>
      </c>
      <c r="BY178" s="738" t="str">
        <f t="shared" si="292"/>
        <v/>
      </c>
      <c r="BZ178" s="730" t="str">
        <f t="shared" si="297"/>
        <v/>
      </c>
    </row>
    <row r="179" spans="46:78" ht="24.95" hidden="1" customHeight="1">
      <c r="AT179" s="488" t="str">
        <f t="shared" si="312"/>
        <v/>
      </c>
      <c r="AU179" s="488" t="str">
        <f t="shared" si="298"/>
        <v/>
      </c>
      <c r="AV179" s="488"/>
      <c r="AW179" s="739"/>
      <c r="AX179" s="720" t="str">
        <f t="shared" si="299"/>
        <v/>
      </c>
      <c r="AY179" s="275"/>
      <c r="AZ179" s="489" t="str">
        <f t="shared" si="300"/>
        <v/>
      </c>
      <c r="BA179" s="489" t="str">
        <f t="shared" si="301"/>
        <v/>
      </c>
      <c r="BB179" s="723" t="str">
        <f t="shared" si="302"/>
        <v/>
      </c>
      <c r="BC179" s="741" t="str">
        <f t="shared" si="279"/>
        <v/>
      </c>
      <c r="BD179" s="742" t="str">
        <f t="shared" si="303"/>
        <v/>
      </c>
      <c r="BE179" s="743" t="str">
        <f t="shared" si="294"/>
        <v/>
      </c>
      <c r="BF179" s="742" t="str">
        <f t="shared" si="304"/>
        <v/>
      </c>
      <c r="BG179" s="743" t="str">
        <f t="shared" si="282"/>
        <v/>
      </c>
      <c r="BH179" s="728" t="str">
        <f t="shared" si="295"/>
        <v/>
      </c>
      <c r="BL179" s="732" t="str">
        <f t="shared" si="313"/>
        <v/>
      </c>
      <c r="BM179" s="487" t="str">
        <f t="shared" si="305"/>
        <v/>
      </c>
      <c r="BN179" s="487"/>
      <c r="BO179" s="487"/>
      <c r="BP179" s="720" t="str">
        <f t="shared" si="306"/>
        <v/>
      </c>
      <c r="BQ179" s="700"/>
      <c r="BR179" s="732" t="str">
        <f t="shared" si="307"/>
        <v/>
      </c>
      <c r="BS179" s="732" t="str">
        <f t="shared" si="308"/>
        <v/>
      </c>
      <c r="BT179" s="723" t="str">
        <f t="shared" si="309"/>
        <v/>
      </c>
      <c r="BU179" s="734" t="str">
        <f t="shared" si="288"/>
        <v/>
      </c>
      <c r="BV179" s="736" t="str">
        <f t="shared" si="310"/>
        <v/>
      </c>
      <c r="BW179" s="737" t="str">
        <f t="shared" si="290"/>
        <v/>
      </c>
      <c r="BX179" s="737" t="str">
        <f t="shared" si="311"/>
        <v/>
      </c>
      <c r="BY179" s="738" t="str">
        <f t="shared" si="292"/>
        <v/>
      </c>
      <c r="BZ179" s="730" t="str">
        <f t="shared" si="297"/>
        <v/>
      </c>
    </row>
    <row r="180" spans="46:78" ht="24.95" hidden="1" customHeight="1">
      <c r="AT180" s="488" t="str">
        <f t="shared" si="312"/>
        <v/>
      </c>
      <c r="AU180" s="488" t="str">
        <f t="shared" si="298"/>
        <v/>
      </c>
      <c r="AV180" s="488"/>
      <c r="AW180" s="739"/>
      <c r="AX180" s="720" t="str">
        <f t="shared" si="299"/>
        <v/>
      </c>
      <c r="AY180" s="275"/>
      <c r="AZ180" s="489" t="str">
        <f t="shared" si="300"/>
        <v/>
      </c>
      <c r="BA180" s="489" t="str">
        <f t="shared" si="301"/>
        <v/>
      </c>
      <c r="BB180" s="723" t="str">
        <f t="shared" si="302"/>
        <v/>
      </c>
      <c r="BC180" s="741" t="str">
        <f t="shared" si="279"/>
        <v/>
      </c>
      <c r="BD180" s="742" t="str">
        <f t="shared" si="303"/>
        <v/>
      </c>
      <c r="BE180" s="743" t="str">
        <f t="shared" si="294"/>
        <v/>
      </c>
      <c r="BF180" s="742" t="str">
        <f t="shared" si="304"/>
        <v/>
      </c>
      <c r="BG180" s="743" t="str">
        <f t="shared" si="282"/>
        <v/>
      </c>
      <c r="BH180" s="728" t="str">
        <f t="shared" si="295"/>
        <v/>
      </c>
      <c r="BL180" s="732" t="str">
        <f t="shared" si="313"/>
        <v/>
      </c>
      <c r="BM180" s="487" t="str">
        <f t="shared" si="305"/>
        <v/>
      </c>
      <c r="BN180" s="487"/>
      <c r="BO180" s="487"/>
      <c r="BP180" s="720" t="str">
        <f t="shared" si="306"/>
        <v/>
      </c>
      <c r="BQ180" s="700"/>
      <c r="BR180" s="732" t="str">
        <f t="shared" si="307"/>
        <v/>
      </c>
      <c r="BS180" s="732" t="str">
        <f t="shared" si="308"/>
        <v/>
      </c>
      <c r="BT180" s="723" t="str">
        <f t="shared" si="309"/>
        <v/>
      </c>
      <c r="BU180" s="734" t="str">
        <f t="shared" si="288"/>
        <v/>
      </c>
      <c r="BV180" s="736" t="str">
        <f t="shared" si="310"/>
        <v/>
      </c>
      <c r="BW180" s="737" t="str">
        <f t="shared" si="290"/>
        <v/>
      </c>
      <c r="BX180" s="737" t="str">
        <f t="shared" si="311"/>
        <v/>
      </c>
      <c r="BY180" s="738" t="str">
        <f t="shared" si="292"/>
        <v/>
      </c>
      <c r="BZ180" s="730" t="str">
        <f t="shared" si="297"/>
        <v/>
      </c>
    </row>
    <row r="181" spans="46:78" ht="24.95" hidden="1" customHeight="1">
      <c r="AT181" s="488" t="str">
        <f t="shared" si="312"/>
        <v/>
      </c>
      <c r="AU181" s="488" t="str">
        <f t="shared" si="298"/>
        <v/>
      </c>
      <c r="AV181" s="488"/>
      <c r="AW181" s="739"/>
      <c r="AX181" s="720" t="str">
        <f t="shared" si="299"/>
        <v/>
      </c>
      <c r="AY181" s="275"/>
      <c r="AZ181" s="489" t="str">
        <f t="shared" si="300"/>
        <v/>
      </c>
      <c r="BA181" s="489" t="str">
        <f t="shared" si="301"/>
        <v/>
      </c>
      <c r="BB181" s="723" t="str">
        <f t="shared" si="302"/>
        <v/>
      </c>
      <c r="BC181" s="741" t="str">
        <f t="shared" si="279"/>
        <v/>
      </c>
      <c r="BD181" s="742" t="str">
        <f t="shared" si="303"/>
        <v/>
      </c>
      <c r="BE181" s="743" t="str">
        <f t="shared" si="294"/>
        <v/>
      </c>
      <c r="BF181" s="742" t="str">
        <f t="shared" si="304"/>
        <v/>
      </c>
      <c r="BG181" s="743" t="str">
        <f t="shared" si="282"/>
        <v/>
      </c>
      <c r="BH181" s="728" t="str">
        <f t="shared" si="295"/>
        <v/>
      </c>
      <c r="BL181" s="732" t="str">
        <f t="shared" si="313"/>
        <v/>
      </c>
      <c r="BM181" s="487" t="str">
        <f t="shared" si="305"/>
        <v/>
      </c>
      <c r="BN181" s="487"/>
      <c r="BO181" s="487"/>
      <c r="BP181" s="720" t="str">
        <f t="shared" si="306"/>
        <v/>
      </c>
      <c r="BQ181" s="700"/>
      <c r="BR181" s="732" t="str">
        <f t="shared" si="307"/>
        <v/>
      </c>
      <c r="BS181" s="732" t="str">
        <f t="shared" si="308"/>
        <v/>
      </c>
      <c r="BT181" s="723" t="str">
        <f t="shared" si="309"/>
        <v/>
      </c>
      <c r="BU181" s="734" t="str">
        <f t="shared" si="288"/>
        <v/>
      </c>
      <c r="BV181" s="736" t="str">
        <f t="shared" si="310"/>
        <v/>
      </c>
      <c r="BW181" s="737" t="str">
        <f t="shared" si="290"/>
        <v/>
      </c>
      <c r="BX181" s="737" t="str">
        <f t="shared" si="311"/>
        <v/>
      </c>
      <c r="BY181" s="738" t="str">
        <f t="shared" si="292"/>
        <v/>
      </c>
      <c r="BZ181" s="730" t="str">
        <f t="shared" si="297"/>
        <v/>
      </c>
    </row>
    <row r="182" spans="46:78" ht="24.95" hidden="1" customHeight="1">
      <c r="AT182" s="488" t="str">
        <f t="shared" si="312"/>
        <v/>
      </c>
      <c r="AU182" s="488" t="str">
        <f t="shared" si="298"/>
        <v/>
      </c>
      <c r="AV182" s="488"/>
      <c r="AW182" s="739"/>
      <c r="AX182" s="720" t="str">
        <f t="shared" si="299"/>
        <v/>
      </c>
      <c r="AY182" s="275"/>
      <c r="AZ182" s="489" t="str">
        <f t="shared" si="300"/>
        <v/>
      </c>
      <c r="BA182" s="489" t="str">
        <f t="shared" si="301"/>
        <v/>
      </c>
      <c r="BB182" s="723" t="str">
        <f t="shared" si="302"/>
        <v/>
      </c>
      <c r="BC182" s="741" t="str">
        <f t="shared" si="279"/>
        <v/>
      </c>
      <c r="BD182" s="742" t="str">
        <f t="shared" si="303"/>
        <v/>
      </c>
      <c r="BE182" s="743" t="str">
        <f t="shared" si="294"/>
        <v/>
      </c>
      <c r="BF182" s="742" t="str">
        <f t="shared" si="304"/>
        <v/>
      </c>
      <c r="BG182" s="743" t="str">
        <f t="shared" si="282"/>
        <v/>
      </c>
      <c r="BH182" s="728" t="str">
        <f t="shared" si="295"/>
        <v/>
      </c>
      <c r="BL182" s="732" t="str">
        <f t="shared" si="313"/>
        <v/>
      </c>
      <c r="BM182" s="487" t="str">
        <f t="shared" si="305"/>
        <v/>
      </c>
      <c r="BN182" s="487"/>
      <c r="BO182" s="487"/>
      <c r="BP182" s="720" t="str">
        <f t="shared" si="306"/>
        <v/>
      </c>
      <c r="BQ182" s="700"/>
      <c r="BR182" s="732" t="str">
        <f t="shared" si="307"/>
        <v/>
      </c>
      <c r="BS182" s="732" t="str">
        <f t="shared" si="308"/>
        <v/>
      </c>
      <c r="BT182" s="723" t="str">
        <f t="shared" si="309"/>
        <v/>
      </c>
      <c r="BU182" s="734" t="str">
        <f t="shared" si="288"/>
        <v/>
      </c>
      <c r="BV182" s="736" t="str">
        <f t="shared" si="310"/>
        <v/>
      </c>
      <c r="BW182" s="737" t="str">
        <f t="shared" si="290"/>
        <v/>
      </c>
      <c r="BX182" s="737" t="str">
        <f t="shared" si="311"/>
        <v/>
      </c>
      <c r="BY182" s="738" t="str">
        <f t="shared" si="292"/>
        <v/>
      </c>
      <c r="BZ182" s="730" t="str">
        <f t="shared" si="297"/>
        <v/>
      </c>
    </row>
    <row r="183" spans="46:78" ht="24.95" hidden="1" customHeight="1">
      <c r="AT183" s="488" t="str">
        <f t="shared" si="312"/>
        <v/>
      </c>
      <c r="AU183" s="488" t="str">
        <f t="shared" si="298"/>
        <v/>
      </c>
      <c r="AV183" s="488"/>
      <c r="AW183" s="739"/>
      <c r="AX183" s="720" t="str">
        <f t="shared" si="299"/>
        <v/>
      </c>
      <c r="AY183" s="275"/>
      <c r="AZ183" s="489" t="str">
        <f t="shared" si="300"/>
        <v/>
      </c>
      <c r="BA183" s="489" t="str">
        <f t="shared" si="301"/>
        <v/>
      </c>
      <c r="BB183" s="723" t="str">
        <f t="shared" si="302"/>
        <v/>
      </c>
      <c r="BC183" s="741" t="str">
        <f t="shared" si="279"/>
        <v/>
      </c>
      <c r="BD183" s="742" t="str">
        <f t="shared" si="303"/>
        <v/>
      </c>
      <c r="BE183" s="743" t="str">
        <f t="shared" si="294"/>
        <v/>
      </c>
      <c r="BF183" s="742" t="str">
        <f t="shared" si="304"/>
        <v/>
      </c>
      <c r="BG183" s="743" t="str">
        <f t="shared" si="282"/>
        <v/>
      </c>
      <c r="BH183" s="728" t="str">
        <f t="shared" si="295"/>
        <v/>
      </c>
      <c r="BL183" s="732" t="str">
        <f t="shared" si="313"/>
        <v/>
      </c>
      <c r="BM183" s="487" t="str">
        <f t="shared" si="305"/>
        <v/>
      </c>
      <c r="BN183" s="487"/>
      <c r="BO183" s="487"/>
      <c r="BP183" s="720" t="str">
        <f t="shared" si="306"/>
        <v/>
      </c>
      <c r="BQ183" s="700"/>
      <c r="BR183" s="732" t="str">
        <f t="shared" si="307"/>
        <v/>
      </c>
      <c r="BS183" s="732" t="str">
        <f t="shared" si="308"/>
        <v/>
      </c>
      <c r="BT183" s="723" t="str">
        <f t="shared" si="309"/>
        <v/>
      </c>
      <c r="BU183" s="734" t="str">
        <f t="shared" si="288"/>
        <v/>
      </c>
      <c r="BV183" s="736" t="str">
        <f t="shared" si="310"/>
        <v/>
      </c>
      <c r="BW183" s="737" t="str">
        <f t="shared" si="290"/>
        <v/>
      </c>
      <c r="BX183" s="737" t="str">
        <f t="shared" si="311"/>
        <v/>
      </c>
      <c r="BY183" s="738" t="str">
        <f t="shared" si="292"/>
        <v/>
      </c>
      <c r="BZ183" s="730" t="str">
        <f t="shared" si="297"/>
        <v/>
      </c>
    </row>
    <row r="184" spans="46:78" ht="24.95" hidden="1" customHeight="1">
      <c r="AT184" s="488" t="str">
        <f t="shared" si="312"/>
        <v/>
      </c>
      <c r="AU184" s="488" t="str">
        <f t="shared" si="298"/>
        <v/>
      </c>
      <c r="AV184" s="488"/>
      <c r="AW184" s="739"/>
      <c r="AX184" s="720" t="str">
        <f t="shared" si="299"/>
        <v/>
      </c>
      <c r="AY184" s="275"/>
      <c r="AZ184" s="489" t="str">
        <f t="shared" si="300"/>
        <v/>
      </c>
      <c r="BA184" s="489" t="str">
        <f t="shared" si="301"/>
        <v/>
      </c>
      <c r="BB184" s="723" t="str">
        <f t="shared" si="302"/>
        <v/>
      </c>
      <c r="BC184" s="741" t="str">
        <f t="shared" si="279"/>
        <v/>
      </c>
      <c r="BD184" s="742" t="str">
        <f t="shared" si="303"/>
        <v/>
      </c>
      <c r="BE184" s="743" t="str">
        <f t="shared" si="294"/>
        <v/>
      </c>
      <c r="BF184" s="742" t="str">
        <f t="shared" si="304"/>
        <v/>
      </c>
      <c r="BG184" s="743" t="str">
        <f t="shared" si="282"/>
        <v/>
      </c>
      <c r="BH184" s="728" t="str">
        <f t="shared" si="295"/>
        <v/>
      </c>
      <c r="BL184" s="732" t="str">
        <f t="shared" si="313"/>
        <v/>
      </c>
      <c r="BM184" s="487" t="str">
        <f t="shared" si="305"/>
        <v/>
      </c>
      <c r="BN184" s="487"/>
      <c r="BO184" s="487"/>
      <c r="BP184" s="720" t="str">
        <f t="shared" si="306"/>
        <v/>
      </c>
      <c r="BQ184" s="700"/>
      <c r="BR184" s="732" t="str">
        <f t="shared" si="307"/>
        <v/>
      </c>
      <c r="BS184" s="732" t="str">
        <f t="shared" si="308"/>
        <v/>
      </c>
      <c r="BT184" s="723" t="str">
        <f t="shared" si="309"/>
        <v/>
      </c>
      <c r="BU184" s="734" t="str">
        <f t="shared" si="288"/>
        <v/>
      </c>
      <c r="BV184" s="736" t="str">
        <f t="shared" si="310"/>
        <v/>
      </c>
      <c r="BW184" s="737" t="str">
        <f t="shared" si="290"/>
        <v/>
      </c>
      <c r="BX184" s="737" t="str">
        <f t="shared" si="311"/>
        <v/>
      </c>
      <c r="BY184" s="738" t="str">
        <f t="shared" si="292"/>
        <v/>
      </c>
      <c r="BZ184" s="730" t="str">
        <f t="shared" si="297"/>
        <v/>
      </c>
    </row>
    <row r="185" spans="46:78" ht="24.95" hidden="1" customHeight="1">
      <c r="AT185" s="488" t="str">
        <f t="shared" si="312"/>
        <v/>
      </c>
      <c r="AU185" s="488" t="str">
        <f t="shared" si="298"/>
        <v/>
      </c>
      <c r="AV185" s="488"/>
      <c r="AW185" s="739"/>
      <c r="AX185" s="720" t="str">
        <f t="shared" si="299"/>
        <v/>
      </c>
      <c r="AY185" s="275"/>
      <c r="AZ185" s="489" t="str">
        <f t="shared" si="300"/>
        <v/>
      </c>
      <c r="BA185" s="489" t="str">
        <f t="shared" si="301"/>
        <v/>
      </c>
      <c r="BB185" s="723" t="str">
        <f t="shared" si="302"/>
        <v/>
      </c>
      <c r="BC185" s="741" t="str">
        <f t="shared" si="279"/>
        <v/>
      </c>
      <c r="BD185" s="742" t="str">
        <f t="shared" si="303"/>
        <v/>
      </c>
      <c r="BE185" s="743" t="str">
        <f t="shared" si="294"/>
        <v/>
      </c>
      <c r="BF185" s="742" t="str">
        <f t="shared" si="304"/>
        <v/>
      </c>
      <c r="BG185" s="743" t="str">
        <f t="shared" si="282"/>
        <v/>
      </c>
      <c r="BH185" s="728" t="str">
        <f t="shared" si="295"/>
        <v/>
      </c>
      <c r="BL185" s="732" t="str">
        <f t="shared" si="313"/>
        <v/>
      </c>
      <c r="BM185" s="487" t="str">
        <f t="shared" si="305"/>
        <v/>
      </c>
      <c r="BN185" s="487"/>
      <c r="BO185" s="487"/>
      <c r="BP185" s="720" t="str">
        <f t="shared" si="306"/>
        <v/>
      </c>
      <c r="BQ185" s="700"/>
      <c r="BR185" s="732" t="str">
        <f t="shared" si="307"/>
        <v/>
      </c>
      <c r="BS185" s="732" t="str">
        <f t="shared" si="308"/>
        <v/>
      </c>
      <c r="BT185" s="723" t="str">
        <f t="shared" si="309"/>
        <v/>
      </c>
      <c r="BU185" s="734" t="str">
        <f t="shared" si="288"/>
        <v/>
      </c>
      <c r="BV185" s="736" t="str">
        <f t="shared" si="310"/>
        <v/>
      </c>
      <c r="BW185" s="737" t="str">
        <f t="shared" si="290"/>
        <v/>
      </c>
      <c r="BX185" s="737" t="str">
        <f t="shared" si="311"/>
        <v/>
      </c>
      <c r="BY185" s="738" t="str">
        <f t="shared" si="292"/>
        <v/>
      </c>
      <c r="BZ185" s="730" t="str">
        <f t="shared" si="297"/>
        <v/>
      </c>
    </row>
    <row r="186" spans="46:78" ht="24.95" hidden="1" customHeight="1">
      <c r="AT186" s="488" t="str">
        <f t="shared" si="312"/>
        <v/>
      </c>
      <c r="AU186" s="488" t="str">
        <f t="shared" si="298"/>
        <v/>
      </c>
      <c r="AV186" s="488"/>
      <c r="AW186" s="739"/>
      <c r="AX186" s="720" t="str">
        <f t="shared" si="299"/>
        <v/>
      </c>
      <c r="AY186" s="275"/>
      <c r="AZ186" s="489" t="str">
        <f t="shared" si="300"/>
        <v/>
      </c>
      <c r="BA186" s="489" t="str">
        <f t="shared" si="301"/>
        <v/>
      </c>
      <c r="BB186" s="723" t="str">
        <f t="shared" si="302"/>
        <v/>
      </c>
      <c r="BC186" s="741" t="str">
        <f t="shared" si="279"/>
        <v/>
      </c>
      <c r="BD186" s="742" t="str">
        <f t="shared" si="303"/>
        <v/>
      </c>
      <c r="BE186" s="743" t="str">
        <f t="shared" si="294"/>
        <v/>
      </c>
      <c r="BF186" s="742" t="str">
        <f t="shared" si="304"/>
        <v/>
      </c>
      <c r="BG186" s="743" t="str">
        <f t="shared" si="282"/>
        <v/>
      </c>
      <c r="BH186" s="728" t="str">
        <f t="shared" si="295"/>
        <v/>
      </c>
      <c r="BL186" s="732" t="str">
        <f t="shared" si="313"/>
        <v/>
      </c>
      <c r="BM186" s="487" t="str">
        <f t="shared" si="305"/>
        <v/>
      </c>
      <c r="BN186" s="487"/>
      <c r="BO186" s="487"/>
      <c r="BP186" s="720" t="str">
        <f t="shared" si="306"/>
        <v/>
      </c>
      <c r="BQ186" s="700"/>
      <c r="BR186" s="732" t="str">
        <f t="shared" si="307"/>
        <v/>
      </c>
      <c r="BS186" s="732" t="str">
        <f t="shared" si="308"/>
        <v/>
      </c>
      <c r="BT186" s="723" t="str">
        <f t="shared" si="309"/>
        <v/>
      </c>
      <c r="BU186" s="734" t="str">
        <f t="shared" si="288"/>
        <v/>
      </c>
      <c r="BV186" s="736" t="str">
        <f t="shared" si="310"/>
        <v/>
      </c>
      <c r="BW186" s="737" t="str">
        <f t="shared" si="290"/>
        <v/>
      </c>
      <c r="BX186" s="737" t="str">
        <f t="shared" si="311"/>
        <v/>
      </c>
      <c r="BY186" s="738" t="str">
        <f t="shared" si="292"/>
        <v/>
      </c>
      <c r="BZ186" s="730" t="str">
        <f t="shared" si="297"/>
        <v/>
      </c>
    </row>
    <row r="187" spans="46:78" ht="24.95" hidden="1" customHeight="1">
      <c r="AT187" s="488" t="str">
        <f t="shared" si="312"/>
        <v/>
      </c>
      <c r="AU187" s="488" t="str">
        <f t="shared" si="298"/>
        <v/>
      </c>
      <c r="AV187" s="488"/>
      <c r="AW187" s="739"/>
      <c r="AX187" s="720" t="str">
        <f t="shared" si="299"/>
        <v/>
      </c>
      <c r="AY187" s="275"/>
      <c r="AZ187" s="489" t="str">
        <f t="shared" si="300"/>
        <v/>
      </c>
      <c r="BA187" s="489" t="str">
        <f t="shared" si="301"/>
        <v/>
      </c>
      <c r="BB187" s="723" t="str">
        <f t="shared" si="302"/>
        <v/>
      </c>
      <c r="BC187" s="741" t="str">
        <f t="shared" si="279"/>
        <v/>
      </c>
      <c r="BD187" s="742" t="str">
        <f t="shared" si="303"/>
        <v/>
      </c>
      <c r="BE187" s="743" t="str">
        <f t="shared" si="294"/>
        <v/>
      </c>
      <c r="BF187" s="742" t="str">
        <f t="shared" si="304"/>
        <v/>
      </c>
      <c r="BG187" s="743" t="str">
        <f t="shared" si="282"/>
        <v/>
      </c>
      <c r="BH187" s="728" t="str">
        <f t="shared" si="295"/>
        <v/>
      </c>
      <c r="BL187" s="732" t="str">
        <f t="shared" si="313"/>
        <v/>
      </c>
      <c r="BM187" s="487" t="str">
        <f t="shared" si="305"/>
        <v/>
      </c>
      <c r="BN187" s="487"/>
      <c r="BO187" s="487"/>
      <c r="BP187" s="720" t="str">
        <f t="shared" si="306"/>
        <v/>
      </c>
      <c r="BQ187" s="700"/>
      <c r="BR187" s="732" t="str">
        <f t="shared" si="307"/>
        <v/>
      </c>
      <c r="BS187" s="732" t="str">
        <f t="shared" si="308"/>
        <v/>
      </c>
      <c r="BT187" s="723" t="str">
        <f t="shared" si="309"/>
        <v/>
      </c>
      <c r="BU187" s="734" t="str">
        <f t="shared" si="288"/>
        <v/>
      </c>
      <c r="BV187" s="736" t="str">
        <f t="shared" si="310"/>
        <v/>
      </c>
      <c r="BW187" s="737" t="str">
        <f t="shared" si="290"/>
        <v/>
      </c>
      <c r="BX187" s="737" t="str">
        <f t="shared" si="311"/>
        <v/>
      </c>
      <c r="BY187" s="738" t="str">
        <f t="shared" si="292"/>
        <v/>
      </c>
      <c r="BZ187" s="730" t="str">
        <f t="shared" si="297"/>
        <v/>
      </c>
    </row>
    <row r="188" spans="46:78" ht="24.95" hidden="1" customHeight="1">
      <c r="AT188" s="488" t="str">
        <f t="shared" si="312"/>
        <v/>
      </c>
      <c r="AU188" s="488" t="str">
        <f t="shared" si="298"/>
        <v/>
      </c>
      <c r="AV188" s="488"/>
      <c r="AW188" s="739"/>
      <c r="AX188" s="720" t="str">
        <f t="shared" si="299"/>
        <v/>
      </c>
      <c r="AY188" s="275"/>
      <c r="AZ188" s="489" t="str">
        <f t="shared" si="300"/>
        <v/>
      </c>
      <c r="BA188" s="489" t="str">
        <f t="shared" si="301"/>
        <v/>
      </c>
      <c r="BB188" s="723" t="str">
        <f t="shared" si="302"/>
        <v/>
      </c>
      <c r="BC188" s="741" t="str">
        <f t="shared" si="279"/>
        <v/>
      </c>
      <c r="BD188" s="742" t="str">
        <f t="shared" si="303"/>
        <v/>
      </c>
      <c r="BE188" s="743" t="str">
        <f t="shared" si="294"/>
        <v/>
      </c>
      <c r="BF188" s="742" t="str">
        <f t="shared" si="304"/>
        <v/>
      </c>
      <c r="BG188" s="743" t="str">
        <f t="shared" si="282"/>
        <v/>
      </c>
      <c r="BH188" s="728" t="str">
        <f t="shared" si="295"/>
        <v/>
      </c>
      <c r="BL188" s="732" t="str">
        <f t="shared" si="313"/>
        <v/>
      </c>
      <c r="BM188" s="487" t="str">
        <f t="shared" si="305"/>
        <v/>
      </c>
      <c r="BN188" s="487"/>
      <c r="BO188" s="487"/>
      <c r="BP188" s="720" t="str">
        <f t="shared" si="306"/>
        <v/>
      </c>
      <c r="BQ188" s="700"/>
      <c r="BR188" s="732" t="str">
        <f t="shared" si="307"/>
        <v/>
      </c>
      <c r="BS188" s="732" t="str">
        <f t="shared" si="308"/>
        <v/>
      </c>
      <c r="BT188" s="723" t="str">
        <f t="shared" si="309"/>
        <v/>
      </c>
      <c r="BU188" s="734" t="str">
        <f t="shared" si="288"/>
        <v/>
      </c>
      <c r="BV188" s="736" t="str">
        <f t="shared" si="310"/>
        <v/>
      </c>
      <c r="BW188" s="737" t="str">
        <f t="shared" si="290"/>
        <v/>
      </c>
      <c r="BX188" s="737" t="str">
        <f t="shared" si="311"/>
        <v/>
      </c>
      <c r="BY188" s="738" t="str">
        <f t="shared" si="292"/>
        <v/>
      </c>
      <c r="BZ188" s="730" t="str">
        <f t="shared" si="297"/>
        <v/>
      </c>
    </row>
    <row r="189" spans="46:78" ht="24.95" hidden="1" customHeight="1">
      <c r="AT189" s="488" t="str">
        <f t="shared" si="312"/>
        <v/>
      </c>
      <c r="AU189" s="488" t="str">
        <f t="shared" ref="AU189:AU204" si="314">IF(K72&lt;&gt;"",K72,"")</f>
        <v/>
      </c>
      <c r="AV189" s="488"/>
      <c r="AW189" s="739"/>
      <c r="AX189" s="720" t="str">
        <f t="shared" ref="AX189:AX200" si="315">IF(M72&lt;&gt;"",MID(M72,7,200),"")</f>
        <v/>
      </c>
      <c r="AY189" s="275"/>
      <c r="AZ189" s="489" t="str">
        <f t="shared" ref="AZ189:AZ204" si="316">IF(N72&gt;0,N72,"")</f>
        <v/>
      </c>
      <c r="BA189" s="489" t="str">
        <f t="shared" ref="BA189:BA204" si="317">IF(O72&lt;&gt;"",O72,"")</f>
        <v/>
      </c>
      <c r="BB189" s="723" t="str">
        <f t="shared" ref="BB189:BB200" si="318">IF(M72&lt;&gt;"",MID(P72,5,100),"")</f>
        <v/>
      </c>
      <c r="BC189" s="741" t="str">
        <f t="shared" ref="BC189:BC204" si="319">IF(AX189="","",quote_currency_symbol)</f>
        <v/>
      </c>
      <c r="BD189" s="742" t="str">
        <f t="shared" ref="BD189:BD204" si="320">IF(M72&lt;&gt;"",U72,"")</f>
        <v/>
      </c>
      <c r="BE189" s="743" t="str">
        <f t="shared" si="294"/>
        <v/>
      </c>
      <c r="BF189" s="742" t="str">
        <f t="shared" ref="BF189:BF204" si="321">IF(M72&lt;&gt;"",W72,"")</f>
        <v/>
      </c>
      <c r="BG189" s="743" t="str">
        <f t="shared" ref="BG189:BG204" si="322">IF(AX189="","",quote_currency_symbol)</f>
        <v/>
      </c>
      <c r="BH189" s="728" t="str">
        <f t="shared" si="295"/>
        <v/>
      </c>
      <c r="BL189" s="732" t="str">
        <f t="shared" si="313"/>
        <v/>
      </c>
      <c r="BM189" s="487" t="str">
        <f t="shared" ref="BM189:BM204" si="323">IF(M72&lt;&gt;"",K72,"")</f>
        <v/>
      </c>
      <c r="BN189" s="487"/>
      <c r="BO189" s="487"/>
      <c r="BP189" s="720" t="str">
        <f t="shared" ref="BP189:BP204" si="324">IF(M72&lt;&gt;"",MID(M72,7,200),"")</f>
        <v/>
      </c>
      <c r="BQ189" s="700"/>
      <c r="BR189" s="732" t="str">
        <f t="shared" ref="BR189:BR204" si="325">IF(N72&gt;0,N72,"")</f>
        <v/>
      </c>
      <c r="BS189" s="732" t="str">
        <f t="shared" ref="BS189:BS204" si="326">IF(O72&lt;&gt;"",O72,"")</f>
        <v/>
      </c>
      <c r="BT189" s="723" t="str">
        <f t="shared" ref="BT189:BT204" si="327">IF(M72&lt;&gt;"",MID(P72,5,100),"")</f>
        <v/>
      </c>
      <c r="BU189" s="734" t="str">
        <f t="shared" ref="BU189:BU204" si="328">IF(BP189="","",quote_currency_symbol)</f>
        <v/>
      </c>
      <c r="BV189" s="736" t="str">
        <f t="shared" ref="BV189:BV204" si="329">IF(M72&lt;&gt;"",U72,"")</f>
        <v/>
      </c>
      <c r="BW189" s="737" t="str">
        <f t="shared" ref="BW189:BW204" si="330">IF(BP189="","",quote_currency_symbol)</f>
        <v/>
      </c>
      <c r="BX189" s="737" t="str">
        <f t="shared" ref="BX189:BX204" si="331">IF(M72&lt;&gt;"",W72,"")</f>
        <v/>
      </c>
      <c r="BY189" s="738" t="str">
        <f t="shared" ref="BY189:BY204" si="332">IF(BP189="","",quote_currency_symbol)</f>
        <v/>
      </c>
      <c r="BZ189" s="730" t="str">
        <f t="shared" si="297"/>
        <v/>
      </c>
    </row>
    <row r="190" spans="46:78" ht="24.95" hidden="1" customHeight="1">
      <c r="AT190" s="488" t="str">
        <f t="shared" ref="AT190:AT204" si="333">IF(M73="","",AT189+1)</f>
        <v/>
      </c>
      <c r="AU190" s="488" t="str">
        <f t="shared" si="314"/>
        <v/>
      </c>
      <c r="AV190" s="488"/>
      <c r="AW190" s="739"/>
      <c r="AX190" s="720" t="str">
        <f t="shared" si="315"/>
        <v/>
      </c>
      <c r="AY190" s="275"/>
      <c r="AZ190" s="489" t="str">
        <f t="shared" si="316"/>
        <v/>
      </c>
      <c r="BA190" s="489" t="str">
        <f t="shared" si="317"/>
        <v/>
      </c>
      <c r="BB190" s="723" t="str">
        <f t="shared" si="318"/>
        <v/>
      </c>
      <c r="BC190" s="741" t="str">
        <f t="shared" si="319"/>
        <v/>
      </c>
      <c r="BD190" s="742" t="str">
        <f t="shared" si="320"/>
        <v/>
      </c>
      <c r="BE190" s="743" t="str">
        <f t="shared" ref="BE190:BE204" si="334">IF(AX190="","",quote_currency_symbol)</f>
        <v/>
      </c>
      <c r="BF190" s="742" t="str">
        <f t="shared" si="321"/>
        <v/>
      </c>
      <c r="BG190" s="743" t="str">
        <f t="shared" si="322"/>
        <v/>
      </c>
      <c r="BH190" s="728" t="str">
        <f t="shared" ref="BH190:BH204" si="335">IF(AND(AX190&lt;&gt;"",AZ190&gt;0),(N(AZ190))*BD190-BF190,"")</f>
        <v/>
      </c>
      <c r="BL190" s="732" t="str">
        <f t="shared" ref="BL190:BL204" si="336">IF(M73="","",BL189+1)</f>
        <v/>
      </c>
      <c r="BM190" s="487" t="str">
        <f t="shared" si="323"/>
        <v/>
      </c>
      <c r="BN190" s="487"/>
      <c r="BO190" s="487"/>
      <c r="BP190" s="720" t="str">
        <f t="shared" si="324"/>
        <v/>
      </c>
      <c r="BQ190" s="700"/>
      <c r="BR190" s="732" t="str">
        <f t="shared" si="325"/>
        <v/>
      </c>
      <c r="BS190" s="732" t="str">
        <f t="shared" si="326"/>
        <v/>
      </c>
      <c r="BT190" s="723" t="str">
        <f t="shared" si="327"/>
        <v/>
      </c>
      <c r="BU190" s="734" t="str">
        <f t="shared" si="328"/>
        <v/>
      </c>
      <c r="BV190" s="736" t="str">
        <f t="shared" si="329"/>
        <v/>
      </c>
      <c r="BW190" s="737" t="str">
        <f t="shared" si="330"/>
        <v/>
      </c>
      <c r="BX190" s="737" t="str">
        <f t="shared" si="331"/>
        <v/>
      </c>
      <c r="BY190" s="738" t="str">
        <f t="shared" si="332"/>
        <v/>
      </c>
      <c r="BZ190" s="730" t="str">
        <f t="shared" ref="BZ190:BZ204" si="337">IF(AND(BP190&lt;&gt;"",BR190&gt;0),(N(BR190))*BV190-BX190,"")</f>
        <v/>
      </c>
    </row>
    <row r="191" spans="46:78" ht="24.95" hidden="1" customHeight="1">
      <c r="AT191" s="488" t="str">
        <f t="shared" si="333"/>
        <v/>
      </c>
      <c r="AU191" s="488" t="str">
        <f t="shared" si="314"/>
        <v/>
      </c>
      <c r="AV191" s="488"/>
      <c r="AW191" s="739"/>
      <c r="AX191" s="720" t="str">
        <f t="shared" si="315"/>
        <v/>
      </c>
      <c r="AY191" s="275"/>
      <c r="AZ191" s="489" t="str">
        <f t="shared" si="316"/>
        <v/>
      </c>
      <c r="BA191" s="489" t="str">
        <f t="shared" si="317"/>
        <v/>
      </c>
      <c r="BB191" s="723" t="str">
        <f t="shared" si="318"/>
        <v/>
      </c>
      <c r="BC191" s="741" t="str">
        <f t="shared" si="319"/>
        <v/>
      </c>
      <c r="BD191" s="742" t="str">
        <f t="shared" si="320"/>
        <v/>
      </c>
      <c r="BE191" s="743" t="str">
        <f t="shared" si="334"/>
        <v/>
      </c>
      <c r="BF191" s="742" t="str">
        <f t="shared" si="321"/>
        <v/>
      </c>
      <c r="BG191" s="743" t="str">
        <f t="shared" si="322"/>
        <v/>
      </c>
      <c r="BH191" s="728" t="str">
        <f t="shared" si="335"/>
        <v/>
      </c>
      <c r="BL191" s="732" t="str">
        <f t="shared" si="336"/>
        <v/>
      </c>
      <c r="BM191" s="487" t="str">
        <f t="shared" si="323"/>
        <v/>
      </c>
      <c r="BN191" s="487"/>
      <c r="BO191" s="487"/>
      <c r="BP191" s="720" t="str">
        <f t="shared" si="324"/>
        <v/>
      </c>
      <c r="BQ191" s="700"/>
      <c r="BR191" s="732" t="str">
        <f t="shared" si="325"/>
        <v/>
      </c>
      <c r="BS191" s="732" t="str">
        <f t="shared" si="326"/>
        <v/>
      </c>
      <c r="BT191" s="723" t="str">
        <f t="shared" si="327"/>
        <v/>
      </c>
      <c r="BU191" s="734" t="str">
        <f t="shared" si="328"/>
        <v/>
      </c>
      <c r="BV191" s="736" t="str">
        <f t="shared" si="329"/>
        <v/>
      </c>
      <c r="BW191" s="737" t="str">
        <f t="shared" si="330"/>
        <v/>
      </c>
      <c r="BX191" s="737" t="str">
        <f t="shared" si="331"/>
        <v/>
      </c>
      <c r="BY191" s="738" t="str">
        <f t="shared" si="332"/>
        <v/>
      </c>
      <c r="BZ191" s="730" t="str">
        <f t="shared" si="337"/>
        <v/>
      </c>
    </row>
    <row r="192" spans="46:78" ht="24.95" hidden="1" customHeight="1">
      <c r="AT192" s="488" t="str">
        <f t="shared" si="333"/>
        <v/>
      </c>
      <c r="AU192" s="488" t="str">
        <f t="shared" si="314"/>
        <v/>
      </c>
      <c r="AV192" s="488"/>
      <c r="AW192" s="739"/>
      <c r="AX192" s="720" t="str">
        <f t="shared" si="315"/>
        <v/>
      </c>
      <c r="AY192" s="275"/>
      <c r="AZ192" s="489" t="str">
        <f t="shared" si="316"/>
        <v/>
      </c>
      <c r="BA192" s="489" t="str">
        <f t="shared" si="317"/>
        <v/>
      </c>
      <c r="BB192" s="723" t="str">
        <f t="shared" si="318"/>
        <v/>
      </c>
      <c r="BC192" s="741" t="str">
        <f t="shared" si="319"/>
        <v/>
      </c>
      <c r="BD192" s="742" t="str">
        <f t="shared" si="320"/>
        <v/>
      </c>
      <c r="BE192" s="743" t="str">
        <f t="shared" si="334"/>
        <v/>
      </c>
      <c r="BF192" s="742" t="str">
        <f t="shared" si="321"/>
        <v/>
      </c>
      <c r="BG192" s="743" t="str">
        <f t="shared" si="322"/>
        <v/>
      </c>
      <c r="BH192" s="728" t="str">
        <f t="shared" si="335"/>
        <v/>
      </c>
      <c r="BL192" s="732" t="str">
        <f t="shared" si="336"/>
        <v/>
      </c>
      <c r="BM192" s="487" t="str">
        <f t="shared" si="323"/>
        <v/>
      </c>
      <c r="BN192" s="487"/>
      <c r="BO192" s="487"/>
      <c r="BP192" s="720" t="str">
        <f t="shared" si="324"/>
        <v/>
      </c>
      <c r="BQ192" s="700"/>
      <c r="BR192" s="732" t="str">
        <f t="shared" si="325"/>
        <v/>
      </c>
      <c r="BS192" s="732" t="str">
        <f t="shared" si="326"/>
        <v/>
      </c>
      <c r="BT192" s="723" t="str">
        <f t="shared" si="327"/>
        <v/>
      </c>
      <c r="BU192" s="734" t="str">
        <f t="shared" si="328"/>
        <v/>
      </c>
      <c r="BV192" s="736" t="str">
        <f t="shared" si="329"/>
        <v/>
      </c>
      <c r="BW192" s="737" t="str">
        <f t="shared" si="330"/>
        <v/>
      </c>
      <c r="BX192" s="737" t="str">
        <f t="shared" si="331"/>
        <v/>
      </c>
      <c r="BY192" s="738" t="str">
        <f t="shared" si="332"/>
        <v/>
      </c>
      <c r="BZ192" s="730" t="str">
        <f t="shared" si="337"/>
        <v/>
      </c>
    </row>
    <row r="193" spans="46:78" ht="24.95" hidden="1" customHeight="1">
      <c r="AT193" s="488" t="str">
        <f t="shared" si="333"/>
        <v/>
      </c>
      <c r="AU193" s="488" t="str">
        <f t="shared" si="314"/>
        <v/>
      </c>
      <c r="AV193" s="488"/>
      <c r="AW193" s="739"/>
      <c r="AX193" s="720" t="str">
        <f t="shared" si="315"/>
        <v/>
      </c>
      <c r="AY193" s="275"/>
      <c r="AZ193" s="489" t="str">
        <f t="shared" si="316"/>
        <v/>
      </c>
      <c r="BA193" s="489" t="str">
        <f t="shared" si="317"/>
        <v/>
      </c>
      <c r="BB193" s="723" t="str">
        <f t="shared" si="318"/>
        <v/>
      </c>
      <c r="BC193" s="741" t="str">
        <f t="shared" si="319"/>
        <v/>
      </c>
      <c r="BD193" s="742" t="str">
        <f t="shared" si="320"/>
        <v/>
      </c>
      <c r="BE193" s="743" t="str">
        <f t="shared" si="334"/>
        <v/>
      </c>
      <c r="BF193" s="742" t="str">
        <f t="shared" si="321"/>
        <v/>
      </c>
      <c r="BG193" s="743" t="str">
        <f t="shared" si="322"/>
        <v/>
      </c>
      <c r="BH193" s="728" t="str">
        <f t="shared" si="335"/>
        <v/>
      </c>
      <c r="BL193" s="732" t="str">
        <f t="shared" si="336"/>
        <v/>
      </c>
      <c r="BM193" s="487" t="str">
        <f t="shared" si="323"/>
        <v/>
      </c>
      <c r="BN193" s="487"/>
      <c r="BO193" s="487"/>
      <c r="BP193" s="720" t="str">
        <f t="shared" si="324"/>
        <v/>
      </c>
      <c r="BQ193" s="700"/>
      <c r="BR193" s="732" t="str">
        <f t="shared" si="325"/>
        <v/>
      </c>
      <c r="BS193" s="732" t="str">
        <f t="shared" si="326"/>
        <v/>
      </c>
      <c r="BT193" s="723" t="str">
        <f t="shared" si="327"/>
        <v/>
      </c>
      <c r="BU193" s="734" t="str">
        <f t="shared" si="328"/>
        <v/>
      </c>
      <c r="BV193" s="736" t="str">
        <f t="shared" si="329"/>
        <v/>
      </c>
      <c r="BW193" s="737" t="str">
        <f t="shared" si="330"/>
        <v/>
      </c>
      <c r="BX193" s="737" t="str">
        <f t="shared" si="331"/>
        <v/>
      </c>
      <c r="BY193" s="738" t="str">
        <f t="shared" si="332"/>
        <v/>
      </c>
      <c r="BZ193" s="730" t="str">
        <f t="shared" si="337"/>
        <v/>
      </c>
    </row>
    <row r="194" spans="46:78" ht="24.95" hidden="1" customHeight="1">
      <c r="AT194" s="488" t="str">
        <f t="shared" si="333"/>
        <v/>
      </c>
      <c r="AU194" s="488" t="str">
        <f t="shared" si="314"/>
        <v/>
      </c>
      <c r="AV194" s="488"/>
      <c r="AW194" s="739"/>
      <c r="AX194" s="720" t="str">
        <f t="shared" si="315"/>
        <v/>
      </c>
      <c r="AY194" s="275"/>
      <c r="AZ194" s="489" t="str">
        <f t="shared" si="316"/>
        <v/>
      </c>
      <c r="BA194" s="489" t="str">
        <f t="shared" si="317"/>
        <v/>
      </c>
      <c r="BB194" s="723" t="str">
        <f t="shared" si="318"/>
        <v/>
      </c>
      <c r="BC194" s="741" t="str">
        <f t="shared" si="319"/>
        <v/>
      </c>
      <c r="BD194" s="742" t="str">
        <f t="shared" si="320"/>
        <v/>
      </c>
      <c r="BE194" s="743" t="str">
        <f t="shared" si="334"/>
        <v/>
      </c>
      <c r="BF194" s="742" t="str">
        <f t="shared" si="321"/>
        <v/>
      </c>
      <c r="BG194" s="743" t="str">
        <f t="shared" si="322"/>
        <v/>
      </c>
      <c r="BH194" s="728" t="str">
        <f t="shared" si="335"/>
        <v/>
      </c>
      <c r="BL194" s="732" t="str">
        <f t="shared" si="336"/>
        <v/>
      </c>
      <c r="BM194" s="487" t="str">
        <f t="shared" si="323"/>
        <v/>
      </c>
      <c r="BN194" s="487"/>
      <c r="BO194" s="487"/>
      <c r="BP194" s="720" t="str">
        <f t="shared" si="324"/>
        <v/>
      </c>
      <c r="BQ194" s="700"/>
      <c r="BR194" s="732" t="str">
        <f t="shared" si="325"/>
        <v/>
      </c>
      <c r="BS194" s="732" t="str">
        <f t="shared" si="326"/>
        <v/>
      </c>
      <c r="BT194" s="723" t="str">
        <f t="shared" si="327"/>
        <v/>
      </c>
      <c r="BU194" s="734" t="str">
        <f t="shared" si="328"/>
        <v/>
      </c>
      <c r="BV194" s="736" t="str">
        <f t="shared" si="329"/>
        <v/>
      </c>
      <c r="BW194" s="737" t="str">
        <f t="shared" si="330"/>
        <v/>
      </c>
      <c r="BX194" s="737" t="str">
        <f t="shared" si="331"/>
        <v/>
      </c>
      <c r="BY194" s="738" t="str">
        <f t="shared" si="332"/>
        <v/>
      </c>
      <c r="BZ194" s="730" t="str">
        <f t="shared" si="337"/>
        <v/>
      </c>
    </row>
    <row r="195" spans="46:78" ht="24.95" hidden="1" customHeight="1">
      <c r="AT195" s="488" t="str">
        <f t="shared" si="333"/>
        <v/>
      </c>
      <c r="AU195" s="488" t="str">
        <f t="shared" si="314"/>
        <v/>
      </c>
      <c r="AV195" s="488"/>
      <c r="AW195" s="739"/>
      <c r="AX195" s="720" t="str">
        <f t="shared" si="315"/>
        <v/>
      </c>
      <c r="AY195" s="275"/>
      <c r="AZ195" s="489" t="str">
        <f t="shared" si="316"/>
        <v/>
      </c>
      <c r="BA195" s="489" t="str">
        <f t="shared" si="317"/>
        <v/>
      </c>
      <c r="BB195" s="723" t="str">
        <f t="shared" si="318"/>
        <v/>
      </c>
      <c r="BC195" s="741" t="str">
        <f t="shared" si="319"/>
        <v/>
      </c>
      <c r="BD195" s="742" t="str">
        <f t="shared" si="320"/>
        <v/>
      </c>
      <c r="BE195" s="743" t="str">
        <f t="shared" si="334"/>
        <v/>
      </c>
      <c r="BF195" s="742" t="str">
        <f t="shared" si="321"/>
        <v/>
      </c>
      <c r="BG195" s="743" t="str">
        <f t="shared" si="322"/>
        <v/>
      </c>
      <c r="BH195" s="728" t="str">
        <f t="shared" si="335"/>
        <v/>
      </c>
      <c r="BL195" s="732" t="str">
        <f t="shared" si="336"/>
        <v/>
      </c>
      <c r="BM195" s="487" t="str">
        <f t="shared" si="323"/>
        <v/>
      </c>
      <c r="BN195" s="487"/>
      <c r="BO195" s="487"/>
      <c r="BP195" s="720" t="str">
        <f t="shared" si="324"/>
        <v/>
      </c>
      <c r="BQ195" s="700"/>
      <c r="BR195" s="732" t="str">
        <f t="shared" si="325"/>
        <v/>
      </c>
      <c r="BS195" s="732" t="str">
        <f t="shared" si="326"/>
        <v/>
      </c>
      <c r="BT195" s="723" t="str">
        <f t="shared" si="327"/>
        <v/>
      </c>
      <c r="BU195" s="734" t="str">
        <f t="shared" si="328"/>
        <v/>
      </c>
      <c r="BV195" s="736" t="str">
        <f t="shared" si="329"/>
        <v/>
      </c>
      <c r="BW195" s="737" t="str">
        <f t="shared" si="330"/>
        <v/>
      </c>
      <c r="BX195" s="737" t="str">
        <f t="shared" si="331"/>
        <v/>
      </c>
      <c r="BY195" s="738" t="str">
        <f t="shared" si="332"/>
        <v/>
      </c>
      <c r="BZ195" s="730" t="str">
        <f t="shared" si="337"/>
        <v/>
      </c>
    </row>
    <row r="196" spans="46:78" ht="24.95" hidden="1" customHeight="1">
      <c r="AT196" s="488" t="str">
        <f t="shared" si="333"/>
        <v/>
      </c>
      <c r="AU196" s="488" t="str">
        <f t="shared" si="314"/>
        <v/>
      </c>
      <c r="AV196" s="488"/>
      <c r="AW196" s="739"/>
      <c r="AX196" s="720" t="str">
        <f t="shared" si="315"/>
        <v/>
      </c>
      <c r="AY196" s="275"/>
      <c r="AZ196" s="489" t="str">
        <f t="shared" si="316"/>
        <v/>
      </c>
      <c r="BA196" s="489" t="str">
        <f t="shared" si="317"/>
        <v/>
      </c>
      <c r="BB196" s="723" t="str">
        <f t="shared" si="318"/>
        <v/>
      </c>
      <c r="BC196" s="741" t="str">
        <f t="shared" si="319"/>
        <v/>
      </c>
      <c r="BD196" s="742" t="str">
        <f t="shared" si="320"/>
        <v/>
      </c>
      <c r="BE196" s="743" t="str">
        <f t="shared" si="334"/>
        <v/>
      </c>
      <c r="BF196" s="742" t="str">
        <f t="shared" si="321"/>
        <v/>
      </c>
      <c r="BG196" s="743" t="str">
        <f t="shared" si="322"/>
        <v/>
      </c>
      <c r="BH196" s="728" t="str">
        <f t="shared" si="335"/>
        <v/>
      </c>
      <c r="BL196" s="732" t="str">
        <f t="shared" si="336"/>
        <v/>
      </c>
      <c r="BM196" s="487" t="str">
        <f t="shared" si="323"/>
        <v/>
      </c>
      <c r="BN196" s="487"/>
      <c r="BO196" s="487"/>
      <c r="BP196" s="720" t="str">
        <f t="shared" si="324"/>
        <v/>
      </c>
      <c r="BQ196" s="700"/>
      <c r="BR196" s="732" t="str">
        <f t="shared" si="325"/>
        <v/>
      </c>
      <c r="BS196" s="732" t="str">
        <f t="shared" si="326"/>
        <v/>
      </c>
      <c r="BT196" s="723" t="str">
        <f t="shared" si="327"/>
        <v/>
      </c>
      <c r="BU196" s="734" t="str">
        <f t="shared" si="328"/>
        <v/>
      </c>
      <c r="BV196" s="736" t="str">
        <f t="shared" si="329"/>
        <v/>
      </c>
      <c r="BW196" s="737" t="str">
        <f t="shared" si="330"/>
        <v/>
      </c>
      <c r="BX196" s="737" t="str">
        <f t="shared" si="331"/>
        <v/>
      </c>
      <c r="BY196" s="738" t="str">
        <f t="shared" si="332"/>
        <v/>
      </c>
      <c r="BZ196" s="730" t="str">
        <f t="shared" si="337"/>
        <v/>
      </c>
    </row>
    <row r="197" spans="46:78" ht="24.95" hidden="1" customHeight="1">
      <c r="AT197" s="488" t="str">
        <f t="shared" si="333"/>
        <v/>
      </c>
      <c r="AU197" s="488" t="str">
        <f t="shared" si="314"/>
        <v/>
      </c>
      <c r="AV197" s="488"/>
      <c r="AW197" s="739"/>
      <c r="AX197" s="720" t="str">
        <f t="shared" si="315"/>
        <v/>
      </c>
      <c r="AY197" s="275"/>
      <c r="AZ197" s="489" t="str">
        <f t="shared" si="316"/>
        <v/>
      </c>
      <c r="BA197" s="489" t="str">
        <f t="shared" si="317"/>
        <v/>
      </c>
      <c r="BB197" s="723" t="str">
        <f t="shared" si="318"/>
        <v/>
      </c>
      <c r="BC197" s="741" t="str">
        <f t="shared" si="319"/>
        <v/>
      </c>
      <c r="BD197" s="742" t="str">
        <f t="shared" si="320"/>
        <v/>
      </c>
      <c r="BE197" s="743" t="str">
        <f t="shared" si="334"/>
        <v/>
      </c>
      <c r="BF197" s="742" t="str">
        <f t="shared" si="321"/>
        <v/>
      </c>
      <c r="BG197" s="743" t="str">
        <f t="shared" si="322"/>
        <v/>
      </c>
      <c r="BH197" s="728" t="str">
        <f t="shared" si="335"/>
        <v/>
      </c>
      <c r="BL197" s="732" t="str">
        <f t="shared" si="336"/>
        <v/>
      </c>
      <c r="BM197" s="487" t="str">
        <f t="shared" si="323"/>
        <v/>
      </c>
      <c r="BN197" s="487"/>
      <c r="BO197" s="487"/>
      <c r="BP197" s="720" t="str">
        <f t="shared" si="324"/>
        <v/>
      </c>
      <c r="BQ197" s="700"/>
      <c r="BR197" s="732" t="str">
        <f t="shared" si="325"/>
        <v/>
      </c>
      <c r="BS197" s="732" t="str">
        <f t="shared" si="326"/>
        <v/>
      </c>
      <c r="BT197" s="723" t="str">
        <f t="shared" si="327"/>
        <v/>
      </c>
      <c r="BU197" s="734" t="str">
        <f t="shared" si="328"/>
        <v/>
      </c>
      <c r="BV197" s="736" t="str">
        <f t="shared" si="329"/>
        <v/>
      </c>
      <c r="BW197" s="737" t="str">
        <f t="shared" si="330"/>
        <v/>
      </c>
      <c r="BX197" s="737" t="str">
        <f t="shared" si="331"/>
        <v/>
      </c>
      <c r="BY197" s="738" t="str">
        <f t="shared" si="332"/>
        <v/>
      </c>
      <c r="BZ197" s="730" t="str">
        <f t="shared" si="337"/>
        <v/>
      </c>
    </row>
    <row r="198" spans="46:78" ht="24.95" hidden="1" customHeight="1">
      <c r="AT198" s="488" t="str">
        <f t="shared" si="333"/>
        <v/>
      </c>
      <c r="AU198" s="488" t="str">
        <f t="shared" si="314"/>
        <v/>
      </c>
      <c r="AV198" s="488"/>
      <c r="AW198" s="739"/>
      <c r="AX198" s="720" t="str">
        <f t="shared" si="315"/>
        <v/>
      </c>
      <c r="AY198" s="275"/>
      <c r="AZ198" s="489" t="str">
        <f t="shared" si="316"/>
        <v/>
      </c>
      <c r="BA198" s="489" t="str">
        <f t="shared" si="317"/>
        <v/>
      </c>
      <c r="BB198" s="723" t="str">
        <f t="shared" si="318"/>
        <v/>
      </c>
      <c r="BC198" s="741" t="str">
        <f t="shared" si="319"/>
        <v/>
      </c>
      <c r="BD198" s="742" t="str">
        <f t="shared" si="320"/>
        <v/>
      </c>
      <c r="BE198" s="743" t="str">
        <f t="shared" si="334"/>
        <v/>
      </c>
      <c r="BF198" s="742" t="str">
        <f t="shared" si="321"/>
        <v/>
      </c>
      <c r="BG198" s="743" t="str">
        <f t="shared" si="322"/>
        <v/>
      </c>
      <c r="BH198" s="728" t="str">
        <f t="shared" si="335"/>
        <v/>
      </c>
      <c r="BL198" s="732" t="str">
        <f t="shared" si="336"/>
        <v/>
      </c>
      <c r="BM198" s="487" t="str">
        <f t="shared" si="323"/>
        <v/>
      </c>
      <c r="BN198" s="487"/>
      <c r="BO198" s="487"/>
      <c r="BP198" s="720" t="str">
        <f t="shared" si="324"/>
        <v/>
      </c>
      <c r="BQ198" s="700"/>
      <c r="BR198" s="732" t="str">
        <f t="shared" si="325"/>
        <v/>
      </c>
      <c r="BS198" s="732" t="str">
        <f t="shared" si="326"/>
        <v/>
      </c>
      <c r="BT198" s="723" t="str">
        <f t="shared" si="327"/>
        <v/>
      </c>
      <c r="BU198" s="734" t="str">
        <f t="shared" si="328"/>
        <v/>
      </c>
      <c r="BV198" s="736" t="str">
        <f t="shared" si="329"/>
        <v/>
      </c>
      <c r="BW198" s="737" t="str">
        <f t="shared" si="330"/>
        <v/>
      </c>
      <c r="BX198" s="737" t="str">
        <f t="shared" si="331"/>
        <v/>
      </c>
      <c r="BY198" s="738" t="str">
        <f t="shared" si="332"/>
        <v/>
      </c>
      <c r="BZ198" s="730" t="str">
        <f t="shared" si="337"/>
        <v/>
      </c>
    </row>
    <row r="199" spans="46:78" ht="24.95" hidden="1" customHeight="1">
      <c r="AT199" s="488" t="str">
        <f t="shared" si="333"/>
        <v/>
      </c>
      <c r="AU199" s="488" t="str">
        <f t="shared" si="314"/>
        <v/>
      </c>
      <c r="AV199" s="488"/>
      <c r="AW199" s="739"/>
      <c r="AX199" s="720" t="str">
        <f t="shared" si="315"/>
        <v/>
      </c>
      <c r="AY199" s="275"/>
      <c r="AZ199" s="489" t="str">
        <f t="shared" si="316"/>
        <v/>
      </c>
      <c r="BA199" s="489" t="str">
        <f t="shared" si="317"/>
        <v/>
      </c>
      <c r="BB199" s="723" t="str">
        <f t="shared" si="318"/>
        <v/>
      </c>
      <c r="BC199" s="741" t="str">
        <f t="shared" si="319"/>
        <v/>
      </c>
      <c r="BD199" s="742" t="str">
        <f t="shared" si="320"/>
        <v/>
      </c>
      <c r="BE199" s="743" t="str">
        <f t="shared" si="334"/>
        <v/>
      </c>
      <c r="BF199" s="742" t="str">
        <f t="shared" si="321"/>
        <v/>
      </c>
      <c r="BG199" s="743" t="str">
        <f t="shared" si="322"/>
        <v/>
      </c>
      <c r="BH199" s="728" t="str">
        <f t="shared" si="335"/>
        <v/>
      </c>
      <c r="BL199" s="732" t="str">
        <f t="shared" si="336"/>
        <v/>
      </c>
      <c r="BM199" s="487" t="str">
        <f t="shared" si="323"/>
        <v/>
      </c>
      <c r="BN199" s="487"/>
      <c r="BO199" s="487"/>
      <c r="BP199" s="720" t="str">
        <f t="shared" si="324"/>
        <v/>
      </c>
      <c r="BQ199" s="700"/>
      <c r="BR199" s="732" t="str">
        <f t="shared" si="325"/>
        <v/>
      </c>
      <c r="BS199" s="732" t="str">
        <f t="shared" si="326"/>
        <v/>
      </c>
      <c r="BT199" s="723" t="str">
        <f t="shared" si="327"/>
        <v/>
      </c>
      <c r="BU199" s="734" t="str">
        <f t="shared" si="328"/>
        <v/>
      </c>
      <c r="BV199" s="736" t="str">
        <f t="shared" si="329"/>
        <v/>
      </c>
      <c r="BW199" s="737" t="str">
        <f t="shared" si="330"/>
        <v/>
      </c>
      <c r="BX199" s="737" t="str">
        <f t="shared" si="331"/>
        <v/>
      </c>
      <c r="BY199" s="738" t="str">
        <f t="shared" si="332"/>
        <v/>
      </c>
      <c r="BZ199" s="730" t="str">
        <f t="shared" si="337"/>
        <v/>
      </c>
    </row>
    <row r="200" spans="46:78" ht="24.95" hidden="1" customHeight="1">
      <c r="AT200" s="488" t="str">
        <f t="shared" si="333"/>
        <v/>
      </c>
      <c r="AU200" s="488" t="str">
        <f t="shared" si="314"/>
        <v/>
      </c>
      <c r="AV200" s="488"/>
      <c r="AW200" s="739"/>
      <c r="AX200" s="720" t="str">
        <f t="shared" si="315"/>
        <v/>
      </c>
      <c r="AY200" s="275"/>
      <c r="AZ200" s="489" t="str">
        <f t="shared" si="316"/>
        <v/>
      </c>
      <c r="BA200" s="489" t="str">
        <f t="shared" si="317"/>
        <v/>
      </c>
      <c r="BB200" s="723" t="str">
        <f t="shared" si="318"/>
        <v/>
      </c>
      <c r="BC200" s="741" t="str">
        <f t="shared" si="319"/>
        <v/>
      </c>
      <c r="BD200" s="742" t="str">
        <f t="shared" si="320"/>
        <v/>
      </c>
      <c r="BE200" s="743" t="str">
        <f t="shared" si="334"/>
        <v/>
      </c>
      <c r="BF200" s="742" t="str">
        <f t="shared" si="321"/>
        <v/>
      </c>
      <c r="BG200" s="743" t="str">
        <f t="shared" si="322"/>
        <v/>
      </c>
      <c r="BH200" s="728" t="str">
        <f t="shared" si="335"/>
        <v/>
      </c>
      <c r="BL200" s="732" t="str">
        <f t="shared" si="336"/>
        <v/>
      </c>
      <c r="BM200" s="487" t="str">
        <f t="shared" si="323"/>
        <v/>
      </c>
      <c r="BN200" s="487"/>
      <c r="BO200" s="487"/>
      <c r="BP200" s="720" t="str">
        <f t="shared" si="324"/>
        <v/>
      </c>
      <c r="BQ200" s="700"/>
      <c r="BR200" s="732" t="str">
        <f t="shared" si="325"/>
        <v/>
      </c>
      <c r="BS200" s="732" t="str">
        <f t="shared" si="326"/>
        <v/>
      </c>
      <c r="BT200" s="723" t="str">
        <f t="shared" si="327"/>
        <v/>
      </c>
      <c r="BU200" s="734" t="str">
        <f t="shared" si="328"/>
        <v/>
      </c>
      <c r="BV200" s="736" t="str">
        <f t="shared" si="329"/>
        <v/>
      </c>
      <c r="BW200" s="737" t="str">
        <f t="shared" si="330"/>
        <v/>
      </c>
      <c r="BX200" s="737" t="str">
        <f t="shared" si="331"/>
        <v/>
      </c>
      <c r="BY200" s="738" t="str">
        <f t="shared" si="332"/>
        <v/>
      </c>
      <c r="BZ200" s="730" t="str">
        <f t="shared" si="337"/>
        <v/>
      </c>
    </row>
    <row r="201" spans="46:78" ht="24.95" hidden="1" customHeight="1">
      <c r="AT201" s="488" t="str">
        <f t="shared" si="333"/>
        <v/>
      </c>
      <c r="AU201" s="488" t="str">
        <f t="shared" si="314"/>
        <v/>
      </c>
      <c r="AV201" s="488"/>
      <c r="AW201" s="739"/>
      <c r="AX201" s="274" t="str">
        <f t="shared" ref="AX201:AX202" si="338">IF(M84&lt;&gt;"",MID(M84,4,100),"")</f>
        <v/>
      </c>
      <c r="AY201" s="275"/>
      <c r="AZ201" s="489" t="str">
        <f t="shared" si="316"/>
        <v/>
      </c>
      <c r="BA201" s="489" t="str">
        <f t="shared" si="317"/>
        <v/>
      </c>
      <c r="BB201" s="740" t="str">
        <f t="shared" ref="BB201:BB204" si="339">IF(M84&lt;&gt;"",MID(P84,4,100),"")</f>
        <v/>
      </c>
      <c r="BC201" s="741" t="str">
        <f t="shared" si="319"/>
        <v/>
      </c>
      <c r="BD201" s="742" t="str">
        <f t="shared" si="320"/>
        <v/>
      </c>
      <c r="BE201" s="743" t="str">
        <f t="shared" si="334"/>
        <v/>
      </c>
      <c r="BF201" s="742" t="str">
        <f t="shared" si="321"/>
        <v/>
      </c>
      <c r="BG201" s="743" t="str">
        <f t="shared" si="322"/>
        <v/>
      </c>
      <c r="BH201" s="728" t="str">
        <f t="shared" si="335"/>
        <v/>
      </c>
      <c r="BL201" s="732" t="str">
        <f t="shared" si="336"/>
        <v/>
      </c>
      <c r="BM201" s="487" t="str">
        <f t="shared" si="323"/>
        <v/>
      </c>
      <c r="BN201" s="487"/>
      <c r="BO201" s="487"/>
      <c r="BP201" s="720" t="str">
        <f t="shared" si="324"/>
        <v/>
      </c>
      <c r="BQ201" s="700"/>
      <c r="BR201" s="732" t="str">
        <f t="shared" si="325"/>
        <v/>
      </c>
      <c r="BS201" s="732" t="str">
        <f t="shared" si="326"/>
        <v/>
      </c>
      <c r="BT201" s="723" t="str">
        <f t="shared" si="327"/>
        <v/>
      </c>
      <c r="BU201" s="734" t="str">
        <f t="shared" si="328"/>
        <v/>
      </c>
      <c r="BV201" s="736" t="str">
        <f t="shared" si="329"/>
        <v/>
      </c>
      <c r="BW201" s="737" t="str">
        <f t="shared" si="330"/>
        <v/>
      </c>
      <c r="BX201" s="737" t="str">
        <f t="shared" si="331"/>
        <v/>
      </c>
      <c r="BY201" s="738" t="str">
        <f t="shared" si="332"/>
        <v/>
      </c>
      <c r="BZ201" s="730" t="str">
        <f t="shared" si="337"/>
        <v/>
      </c>
    </row>
    <row r="202" spans="46:78" ht="24.95" hidden="1" customHeight="1">
      <c r="AT202" s="488" t="str">
        <f t="shared" si="333"/>
        <v/>
      </c>
      <c r="AU202" s="488" t="str">
        <f t="shared" si="314"/>
        <v/>
      </c>
      <c r="AV202" s="488"/>
      <c r="AW202" s="739"/>
      <c r="AX202" s="274" t="str">
        <f t="shared" si="338"/>
        <v/>
      </c>
      <c r="AY202" s="275"/>
      <c r="AZ202" s="489" t="str">
        <f t="shared" si="316"/>
        <v/>
      </c>
      <c r="BA202" s="489" t="str">
        <f t="shared" si="317"/>
        <v/>
      </c>
      <c r="BB202" s="740" t="str">
        <f t="shared" si="339"/>
        <v/>
      </c>
      <c r="BC202" s="741" t="str">
        <f t="shared" si="319"/>
        <v/>
      </c>
      <c r="BD202" s="742" t="str">
        <f t="shared" si="320"/>
        <v/>
      </c>
      <c r="BE202" s="743" t="str">
        <f t="shared" si="334"/>
        <v/>
      </c>
      <c r="BF202" s="742" t="str">
        <f t="shared" si="321"/>
        <v/>
      </c>
      <c r="BG202" s="743" t="str">
        <f t="shared" si="322"/>
        <v/>
      </c>
      <c r="BH202" s="728" t="str">
        <f t="shared" si="335"/>
        <v/>
      </c>
      <c r="BL202" s="732" t="str">
        <f t="shared" si="336"/>
        <v/>
      </c>
      <c r="BM202" s="487" t="str">
        <f t="shared" si="323"/>
        <v/>
      </c>
      <c r="BN202" s="487"/>
      <c r="BO202" s="487"/>
      <c r="BP202" s="720" t="str">
        <f t="shared" si="324"/>
        <v/>
      </c>
      <c r="BQ202" s="700"/>
      <c r="BR202" s="732" t="str">
        <f t="shared" si="325"/>
        <v/>
      </c>
      <c r="BS202" s="732" t="str">
        <f t="shared" si="326"/>
        <v/>
      </c>
      <c r="BT202" s="723" t="str">
        <f t="shared" si="327"/>
        <v/>
      </c>
      <c r="BU202" s="734" t="str">
        <f t="shared" si="328"/>
        <v/>
      </c>
      <c r="BV202" s="736" t="str">
        <f t="shared" si="329"/>
        <v/>
      </c>
      <c r="BW202" s="737" t="str">
        <f t="shared" si="330"/>
        <v/>
      </c>
      <c r="BX202" s="737" t="str">
        <f t="shared" si="331"/>
        <v/>
      </c>
      <c r="BY202" s="738" t="str">
        <f t="shared" si="332"/>
        <v/>
      </c>
      <c r="BZ202" s="730" t="str">
        <f t="shared" si="337"/>
        <v/>
      </c>
    </row>
    <row r="203" spans="46:78" ht="24.95" hidden="1" customHeight="1">
      <c r="AT203" s="488" t="str">
        <f t="shared" si="333"/>
        <v/>
      </c>
      <c r="AU203" s="488" t="str">
        <f t="shared" si="314"/>
        <v/>
      </c>
      <c r="AV203" s="488"/>
      <c r="AW203" s="739"/>
      <c r="AX203" s="274" t="str">
        <f>IF(M86&lt;&gt;"",MID(M86,4,100),"")</f>
        <v/>
      </c>
      <c r="AY203" s="275"/>
      <c r="AZ203" s="489" t="str">
        <f t="shared" si="316"/>
        <v/>
      </c>
      <c r="BA203" s="489" t="str">
        <f t="shared" si="317"/>
        <v/>
      </c>
      <c r="BB203" s="740" t="str">
        <f t="shared" si="339"/>
        <v/>
      </c>
      <c r="BC203" s="741" t="str">
        <f t="shared" si="319"/>
        <v/>
      </c>
      <c r="BD203" s="742" t="str">
        <f t="shared" si="320"/>
        <v/>
      </c>
      <c r="BE203" s="743" t="str">
        <f t="shared" si="334"/>
        <v/>
      </c>
      <c r="BF203" s="742" t="str">
        <f t="shared" si="321"/>
        <v/>
      </c>
      <c r="BG203" s="743" t="str">
        <f t="shared" si="322"/>
        <v/>
      </c>
      <c r="BH203" s="728" t="str">
        <f t="shared" si="335"/>
        <v/>
      </c>
      <c r="BL203" s="732" t="str">
        <f t="shared" si="336"/>
        <v/>
      </c>
      <c r="BM203" s="487" t="str">
        <f t="shared" si="323"/>
        <v/>
      </c>
      <c r="BN203" s="487"/>
      <c r="BO203" s="487"/>
      <c r="BP203" s="720" t="str">
        <f t="shared" si="324"/>
        <v/>
      </c>
      <c r="BQ203" s="700"/>
      <c r="BR203" s="732" t="str">
        <f t="shared" si="325"/>
        <v/>
      </c>
      <c r="BS203" s="732" t="str">
        <f t="shared" si="326"/>
        <v/>
      </c>
      <c r="BT203" s="723" t="str">
        <f t="shared" si="327"/>
        <v/>
      </c>
      <c r="BU203" s="734" t="str">
        <f t="shared" si="328"/>
        <v/>
      </c>
      <c r="BV203" s="736" t="str">
        <f t="shared" si="329"/>
        <v/>
      </c>
      <c r="BW203" s="737" t="str">
        <f t="shared" si="330"/>
        <v/>
      </c>
      <c r="BX203" s="737" t="str">
        <f t="shared" si="331"/>
        <v/>
      </c>
      <c r="BY203" s="738" t="str">
        <f t="shared" si="332"/>
        <v/>
      </c>
      <c r="BZ203" s="730" t="str">
        <f t="shared" si="337"/>
        <v/>
      </c>
    </row>
    <row r="204" spans="46:78" ht="24.95" hidden="1" customHeight="1">
      <c r="AT204" s="488" t="str">
        <f t="shared" si="333"/>
        <v/>
      </c>
      <c r="AU204" s="488" t="str">
        <f t="shared" si="314"/>
        <v/>
      </c>
      <c r="AV204" s="488"/>
      <c r="AW204" s="739"/>
      <c r="AX204" s="274" t="str">
        <f>IF(M87&lt;&gt;"",MID(M87,4,100),"")</f>
        <v/>
      </c>
      <c r="AY204" s="275"/>
      <c r="AZ204" s="489" t="str">
        <f t="shared" si="316"/>
        <v/>
      </c>
      <c r="BA204" s="489" t="str">
        <f t="shared" si="317"/>
        <v/>
      </c>
      <c r="BB204" s="740" t="str">
        <f t="shared" si="339"/>
        <v/>
      </c>
      <c r="BC204" s="741" t="str">
        <f t="shared" si="319"/>
        <v/>
      </c>
      <c r="BD204" s="742" t="str">
        <f t="shared" si="320"/>
        <v/>
      </c>
      <c r="BE204" s="743" t="str">
        <f t="shared" si="334"/>
        <v/>
      </c>
      <c r="BF204" s="742" t="str">
        <f t="shared" si="321"/>
        <v/>
      </c>
      <c r="BG204" s="743" t="str">
        <f t="shared" si="322"/>
        <v/>
      </c>
      <c r="BH204" s="728" t="str">
        <f t="shared" si="335"/>
        <v/>
      </c>
      <c r="BL204" s="732" t="str">
        <f t="shared" si="336"/>
        <v/>
      </c>
      <c r="BM204" s="487" t="str">
        <f t="shared" si="323"/>
        <v/>
      </c>
      <c r="BN204" s="487"/>
      <c r="BO204" s="487"/>
      <c r="BP204" s="720" t="str">
        <f t="shared" si="324"/>
        <v/>
      </c>
      <c r="BQ204" s="700"/>
      <c r="BR204" s="732" t="str">
        <f t="shared" si="325"/>
        <v/>
      </c>
      <c r="BS204" s="732" t="str">
        <f t="shared" si="326"/>
        <v/>
      </c>
      <c r="BT204" s="723" t="str">
        <f t="shared" si="327"/>
        <v/>
      </c>
      <c r="BU204" s="734" t="str">
        <f t="shared" si="328"/>
        <v/>
      </c>
      <c r="BV204" s="736" t="str">
        <f t="shared" si="329"/>
        <v/>
      </c>
      <c r="BW204" s="737" t="str">
        <f t="shared" si="330"/>
        <v/>
      </c>
      <c r="BX204" s="737" t="str">
        <f t="shared" si="331"/>
        <v/>
      </c>
      <c r="BY204" s="738" t="str">
        <f t="shared" si="332"/>
        <v/>
      </c>
      <c r="BZ204" s="730" t="str">
        <f t="shared" si="337"/>
        <v/>
      </c>
    </row>
    <row r="205" spans="46:78" ht="24.95" customHeight="1">
      <c r="AT205" s="135"/>
      <c r="BF205" s="1281" t="s">
        <v>1719</v>
      </c>
      <c r="BG205" s="1282" t="str">
        <f>quote_currency_symbol</f>
        <v>$</v>
      </c>
      <c r="BH205" s="1283">
        <f>SUM(BH125:BH204)</f>
        <v>36</v>
      </c>
      <c r="BL205" s="127"/>
      <c r="BX205" s="1281" t="s">
        <v>1719</v>
      </c>
      <c r="BY205" s="1281" t="str">
        <f>quote_currency_symbol</f>
        <v>$</v>
      </c>
      <c r="BZ205" s="791">
        <f>SUM(BZ125:BZ204)</f>
        <v>36</v>
      </c>
    </row>
    <row r="206" spans="46:78" ht="24.95" customHeight="1">
      <c r="AT206" s="1229" t="s">
        <v>1721</v>
      </c>
      <c r="BF206" s="1284" t="s">
        <v>853</v>
      </c>
      <c r="BG206" s="1282" t="str">
        <f>quote_currency_symbol</f>
        <v>$</v>
      </c>
      <c r="BH206" s="1285">
        <f>Y89</f>
        <v>0</v>
      </c>
      <c r="BL206" s="1286" t="s">
        <v>1721</v>
      </c>
      <c r="BX206" s="1284" t="s">
        <v>853</v>
      </c>
      <c r="BY206" s="1281" t="str">
        <f>quote_currency_symbol</f>
        <v>$</v>
      </c>
      <c r="BZ206" s="737">
        <f>Y89</f>
        <v>0</v>
      </c>
    </row>
    <row r="207" spans="46:78" ht="24.95" customHeight="1">
      <c r="BF207" s="1284" t="s">
        <v>854</v>
      </c>
      <c r="BG207" s="1282" t="str">
        <f>quote_currency_symbol</f>
        <v>$</v>
      </c>
      <c r="BH207" s="1285">
        <f>Y90</f>
        <v>0</v>
      </c>
      <c r="BX207" s="1284" t="s">
        <v>854</v>
      </c>
      <c r="BY207" s="1281" t="str">
        <f>quote_currency_symbol</f>
        <v>$</v>
      </c>
      <c r="BZ207" s="737">
        <f>Y90</f>
        <v>0</v>
      </c>
    </row>
    <row r="208" spans="46:78" ht="24.95" customHeight="1">
      <c r="BF208" s="1284" t="s">
        <v>1720</v>
      </c>
      <c r="BG208" s="1282" t="str">
        <f>quote_currency_symbol</f>
        <v>$</v>
      </c>
      <c r="BH208" s="1285">
        <f>BH205-BH206-BH207</f>
        <v>36</v>
      </c>
      <c r="BX208" s="1284" t="s">
        <v>1720</v>
      </c>
      <c r="BY208" s="1281" t="str">
        <f>quote_currency_symbol</f>
        <v>$</v>
      </c>
      <c r="BZ208" s="737">
        <f>BZ205-BZ206-BZ207</f>
        <v>36</v>
      </c>
    </row>
  </sheetData>
  <mergeCells count="39">
    <mergeCell ref="X6:Y6"/>
    <mergeCell ref="C22:E24"/>
    <mergeCell ref="S4:V4"/>
    <mergeCell ref="K6:L6"/>
    <mergeCell ref="V6:W6"/>
    <mergeCell ref="J4:M4"/>
    <mergeCell ref="AT119:AU119"/>
    <mergeCell ref="BL119:BM119"/>
    <mergeCell ref="V7:W7"/>
    <mergeCell ref="X7:Y7"/>
    <mergeCell ref="BL115:BP116"/>
    <mergeCell ref="BB116:BF118"/>
    <mergeCell ref="BH116:BH118"/>
    <mergeCell ref="BT117:BX118"/>
    <mergeCell ref="BZ117:BZ119"/>
    <mergeCell ref="BM124:BO124"/>
    <mergeCell ref="AT120:AU120"/>
    <mergeCell ref="BL120:BM120"/>
    <mergeCell ref="AT121:AU121"/>
    <mergeCell ref="BL121:BM121"/>
    <mergeCell ref="AU123:AW123"/>
    <mergeCell ref="AX123:AY123"/>
    <mergeCell ref="BC123:BD123"/>
    <mergeCell ref="BE123:BF123"/>
    <mergeCell ref="BG123:BH123"/>
    <mergeCell ref="BM123:BO123"/>
    <mergeCell ref="AU124:AW124"/>
    <mergeCell ref="AX124:AY124"/>
    <mergeCell ref="BC124:BD124"/>
    <mergeCell ref="BE124:BF124"/>
    <mergeCell ref="BG124:BH124"/>
    <mergeCell ref="BP124:BQ124"/>
    <mergeCell ref="BU124:BV124"/>
    <mergeCell ref="BW124:BX124"/>
    <mergeCell ref="BY124:BZ124"/>
    <mergeCell ref="BP123:BQ123"/>
    <mergeCell ref="BU123:BV123"/>
    <mergeCell ref="BW123:BX123"/>
    <mergeCell ref="BY123:BZ123"/>
  </mergeCells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P8:P87" xr:uid="{F3F0E74A-46C5-4281-96C7-25FCFEDD2C76}">
      <formula1>uom_option</formula1>
    </dataValidation>
    <dataValidation type="list" allowBlank="1" showInputMessage="1" showErrorMessage="1" sqref="AS4" xr:uid="{3BA1E2E6-F949-4F66-BD1B-025D60829048}">
      <formula1>$AS$2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N8:O87 S4:V4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3985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257175</xdr:colOff>
                    <xdr:row>1</xdr:row>
                    <xdr:rowOff>466725</xdr:rowOff>
                  </from>
                  <to>
                    <xdr:col>2</xdr:col>
                    <xdr:colOff>1019175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987" r:id="rId5" name="Button 3">
              <controlPr defaultSize="0" print="0" autoFill="0" autoPict="0" macro="[0]!btnAddVendor">
                <anchor moveWithCells="1" sizeWithCells="1">
                  <from>
                    <xdr:col>3</xdr:col>
                    <xdr:colOff>57150</xdr:colOff>
                    <xdr:row>9</xdr:row>
                    <xdr:rowOff>333375</xdr:rowOff>
                  </from>
                  <to>
                    <xdr:col>3</xdr:col>
                    <xdr:colOff>438150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6" name="Button 4">
              <controlPr defaultSize="0" print="0" autoFill="0" autoPict="0" macro="[0]!goToVendorList">
                <anchor moveWithCells="1" sizeWithCells="1">
                  <from>
                    <xdr:col>4</xdr:col>
                    <xdr:colOff>1028700</xdr:colOff>
                    <xdr:row>3</xdr:row>
                    <xdr:rowOff>19050</xdr:rowOff>
                  </from>
                  <to>
                    <xdr:col>4</xdr:col>
                    <xdr:colOff>2085975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" r:id="rId7" name="Button 7">
              <controlPr defaultSize="0" print="0" autoFill="0" autoPict="0" macro="[0]!goChartAccountDefault">
                <anchor moveWithCells="1" sizeWithCells="1">
                  <from>
                    <xdr:col>2</xdr:col>
                    <xdr:colOff>838200</xdr:colOff>
                    <xdr:row>17</xdr:row>
                    <xdr:rowOff>323850</xdr:rowOff>
                  </from>
                  <to>
                    <xdr:col>3</xdr:col>
                    <xdr:colOff>9525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986" r:id="rId8" name="Button 8">
              <controlPr defaultSize="0" autoFill="0" autoPict="0" macro="[0]!SavePurchaseBill">
                <anchor moveWithCells="1">
                  <from>
                    <xdr:col>22</xdr:col>
                    <xdr:colOff>457200</xdr:colOff>
                    <xdr:row>2</xdr:row>
                    <xdr:rowOff>28575</xdr:rowOff>
                  </from>
                  <to>
                    <xdr:col>24</xdr:col>
                    <xdr:colOff>990600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782" r:id="rId9" name="Button 9">
              <controlPr defaultSize="0" print="0" autoFill="0" autoPict="0" macro="[0]!getPbNBCExchangeRate">
                <anchor moveWithCells="1" sizeWithCells="1">
                  <from>
                    <xdr:col>17</xdr:col>
                    <xdr:colOff>838200</xdr:colOff>
                    <xdr:row>1</xdr:row>
                    <xdr:rowOff>38100</xdr:rowOff>
                  </from>
                  <to>
                    <xdr:col>21</xdr:col>
                    <xdr:colOff>200025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AY204"/>
  <sheetViews>
    <sheetView showGridLines="0" tabSelected="1" zoomScale="80" zoomScaleNormal="80" zoomScaleSheetLayoutView="80" workbookViewId="0">
      <pane ySplit="7" topLeftCell="A8" activePane="bottomLeft" state="frozen"/>
      <selection pane="bottomLeft" activeCell="M8" sqref="M8"/>
    </sheetView>
  </sheetViews>
  <sheetFormatPr defaultRowHeight="24.95" customHeight="1"/>
  <cols>
    <col min="1" max="1" width="1.5703125" style="408" customWidth="1"/>
    <col min="2" max="2" width="4" style="408" customWidth="1"/>
    <col min="3" max="3" width="32" style="408" customWidth="1"/>
    <col min="4" max="4" width="8.7109375" style="408" customWidth="1"/>
    <col min="5" max="5" width="31.42578125" style="408" customWidth="1"/>
    <col min="6" max="6" width="10.5703125" style="408" customWidth="1"/>
    <col min="7" max="7" width="2.140625" style="216" hidden="1" customWidth="1"/>
    <col min="8" max="8" width="3.140625" style="216" hidden="1" customWidth="1"/>
    <col min="9" max="9" width="2.7109375" style="426" customWidth="1"/>
    <col min="10" max="10" width="8" style="143" customWidth="1"/>
    <col min="11" max="11" width="6.28515625" style="143" customWidth="1"/>
    <col min="12" max="12" width="12.42578125" style="755" customWidth="1"/>
    <col min="13" max="13" width="47.42578125" style="331" customWidth="1"/>
    <col min="14" max="14" width="11.28515625" style="756" customWidth="1"/>
    <col min="15" max="15" width="15" style="143" customWidth="1"/>
    <col min="16" max="18" width="20.7109375" style="143" customWidth="1"/>
    <col min="19" max="19" width="3" style="301" customWidth="1"/>
    <col min="20" max="20" width="18.28515625" style="301" customWidth="1"/>
    <col min="21" max="21" width="17.85546875" style="1048" customWidth="1"/>
    <col min="22" max="22" width="3.28515625" style="1058" customWidth="1"/>
    <col min="23" max="23" width="18.7109375" style="1048" customWidth="1"/>
    <col min="24" max="24" width="2.85546875" style="4" customWidth="1"/>
    <col min="25" max="25" width="20.7109375" style="1048" customWidth="1"/>
    <col min="26" max="26" width="17.42578125" style="408" customWidth="1"/>
    <col min="27" max="27" width="20.85546875" style="408" customWidth="1"/>
    <col min="28" max="28" width="18.140625" style="408" customWidth="1"/>
    <col min="29" max="29" width="20.5703125" style="143" customWidth="1"/>
    <col min="30" max="31" width="17.42578125" style="408" customWidth="1"/>
    <col min="32" max="32" width="11.28515625" style="143" customWidth="1"/>
    <col min="33" max="33" width="18.42578125" style="408" customWidth="1"/>
    <col min="34" max="34" width="21.42578125" style="408" customWidth="1"/>
    <col min="35" max="35" width="17.42578125" style="408" customWidth="1"/>
    <col min="36" max="36" width="21.42578125" style="408" customWidth="1"/>
    <col min="37" max="38" width="17.42578125" style="408" customWidth="1"/>
    <col min="39" max="40" width="19.85546875" style="380" customWidth="1"/>
    <col min="41" max="44" width="19.85546875" style="126" customWidth="1"/>
    <col min="45" max="45" width="13.85546875" style="126" customWidth="1"/>
    <col min="46" max="46" width="19.140625" style="126" customWidth="1"/>
    <col min="47" max="47" width="21.5703125" style="126" customWidth="1"/>
    <col min="48" max="48" width="21.5703125" style="143" customWidth="1"/>
    <col min="49" max="49" width="21.28515625" style="204" customWidth="1"/>
    <col min="50" max="50" width="20.28515625" style="204" customWidth="1"/>
    <col min="51" max="51" width="22.140625" style="204" customWidth="1"/>
    <col min="52" max="52" width="17.7109375" style="408" customWidth="1"/>
    <col min="53" max="53" width="19.28515625" style="408" customWidth="1"/>
    <col min="54" max="54" width="18.5703125" style="408" customWidth="1"/>
    <col min="55" max="55" width="17.85546875" style="408" customWidth="1"/>
    <col min="56" max="56" width="15.28515625" style="408" customWidth="1"/>
    <col min="57" max="59" width="9.140625" style="408"/>
    <col min="60" max="60" width="49.7109375" style="408" customWidth="1"/>
    <col min="61" max="16384" width="9.140625" style="408"/>
  </cols>
  <sheetData>
    <row r="1" spans="1:51" ht="8.25" customHeight="1">
      <c r="B1" s="752"/>
      <c r="C1" s="753"/>
      <c r="D1" s="753"/>
      <c r="E1" s="753"/>
      <c r="F1" s="753"/>
      <c r="R1" s="430"/>
    </row>
    <row r="2" spans="1:51" ht="38.25">
      <c r="B2" s="1347"/>
      <c r="C2" s="1348"/>
      <c r="D2" s="1348"/>
      <c r="E2" s="1348"/>
      <c r="F2" s="1349"/>
      <c r="G2" s="902"/>
      <c r="H2" s="902"/>
      <c r="I2" s="1312"/>
      <c r="J2" s="985" t="s">
        <v>2173</v>
      </c>
      <c r="K2" s="761"/>
      <c r="L2" s="761"/>
      <c r="M2" s="761"/>
      <c r="N2" s="761"/>
      <c r="O2" s="761"/>
      <c r="P2" s="985"/>
      <c r="Q2" s="985"/>
      <c r="R2" s="1398"/>
      <c r="S2" s="1056"/>
      <c r="T2" s="1056"/>
      <c r="U2" s="1049"/>
      <c r="V2" s="1056"/>
      <c r="W2" s="1049"/>
      <c r="X2" s="1056"/>
      <c r="Y2" s="1049"/>
    </row>
    <row r="3" spans="1:51" ht="8.25" customHeight="1">
      <c r="B3" s="1350"/>
      <c r="C3" s="920"/>
      <c r="D3" s="920"/>
      <c r="E3" s="920"/>
      <c r="F3" s="1351"/>
      <c r="G3" s="903"/>
      <c r="H3" s="903"/>
      <c r="I3" s="1313"/>
      <c r="J3" s="763"/>
      <c r="K3" s="763"/>
      <c r="L3" s="763"/>
      <c r="M3" s="763"/>
      <c r="N3" s="763"/>
      <c r="O3" s="763"/>
      <c r="P3" s="763"/>
      <c r="Q3" s="763"/>
      <c r="R3" s="1395"/>
      <c r="S3" s="1057"/>
      <c r="T3" s="1057"/>
      <c r="U3" s="1050"/>
      <c r="V3" s="1057"/>
      <c r="W3" s="1050"/>
      <c r="X3" s="1057"/>
      <c r="Y3" s="1050"/>
    </row>
    <row r="4" spans="1:51" ht="27.75" customHeight="1">
      <c r="A4" s="765"/>
      <c r="B4" s="1352"/>
      <c r="C4" s="923"/>
      <c r="D4" s="923"/>
      <c r="E4" s="923"/>
      <c r="F4" s="1353"/>
      <c r="J4" s="326" t="s">
        <v>2447</v>
      </c>
      <c r="K4" s="326"/>
      <c r="L4" s="1649" t="s">
        <v>23</v>
      </c>
      <c r="M4" s="1650"/>
      <c r="N4" s="1198">
        <f>IF(invoice_price_type="","",MID(invoice_price_type,1,2)*1)</f>
        <v>1</v>
      </c>
      <c r="O4" s="1375" t="s">
        <v>2575</v>
      </c>
      <c r="P4" s="1376"/>
      <c r="Q4" s="1376"/>
      <c r="R4" s="1400">
        <v>4001</v>
      </c>
      <c r="T4" s="1340"/>
      <c r="U4" s="1340"/>
      <c r="V4" s="1340"/>
      <c r="AH4" s="408">
        <f>SUMIFS('2_inventory_total_details'!$J$8:$J$10000,'2_inventory_total_details'!$C$8:$C$10000,I8,'2_inventory_total_details'!$F$8:$F$10000,invoice_location_id,'2_inventory_total_details'!$G$8:$G$10000,"="&amp;Q8,'2_inventory_total_details'!$H$8:$H$10000,"="&amp;R8,'2_inventory_total_details'!$I$8:$I$10000,"="&amp;invoice_date)+SUMIFS('2_inventory_total_details'!$M$8:$M$10000,'2_inventory_total_details'!$C$8:$C$10000,I8,'2_inventory_total_details'!$F$8:$F$10000,invoice_location_id,'2_inventory_total_details'!$G$8:$G$10000,"="&amp;Q8,'2_inventory_total_details'!$H$8:$H$10000,"="&amp;R8,'2_inventory_total_details'!$I$8:$I$10000,"="&amp;invoice_date)+SUMIFS('2_inventory_total_details'!$K$8:$K$10000,'2_inventory_total_details'!$C$8:$C$10000,I8,'2_inventory_total_details'!$F$8:$F$10000,invoice_location_id,'2_inventory_total_details'!$G$8:$G$10000,"="&amp;Q8,'2_inventory_total_details'!$H$8:$H$10000,"="&amp;R8,'2_inventory_total_details'!$I$8:$I$10000,"="&amp;invoice_date)+SUMIFS('2_inventory_total_details'!$L$8:$L$10000,'2_inventory_total_details'!$C$8:$C$10000,I8,'2_inventory_total_details'!$F$8:$F$10000,invoice_location_id,'2_inventory_total_details'!$G$8:$G$10000,"="&amp;Q8,'2_inventory_total_details'!$H$8:$H$10000,"="&amp;R8,'2_inventory_total_details'!$I$8:$I$10000,"="&amp;invoice_date)</f>
        <v>0</v>
      </c>
    </row>
    <row r="5" spans="1:51" s="143" customFormat="1" ht="9" customHeight="1">
      <c r="A5" s="770"/>
      <c r="B5" s="1354"/>
      <c r="C5" s="926"/>
      <c r="D5" s="926"/>
      <c r="E5" s="926"/>
      <c r="F5" s="1355"/>
      <c r="G5" s="901"/>
      <c r="H5" s="901"/>
      <c r="I5" s="426"/>
      <c r="L5" s="755"/>
      <c r="M5" s="331"/>
      <c r="N5" s="756"/>
      <c r="R5" s="430"/>
      <c r="S5" s="301"/>
      <c r="T5" s="301"/>
      <c r="U5" s="1051"/>
      <c r="V5" s="1059"/>
      <c r="W5" s="1051"/>
      <c r="X5" s="301"/>
      <c r="Y5" s="1051"/>
      <c r="AM5" s="126"/>
      <c r="AN5" s="126"/>
      <c r="AO5" s="126"/>
      <c r="AP5" s="126"/>
      <c r="AQ5" s="126"/>
      <c r="AR5" s="126"/>
      <c r="AS5" s="126"/>
      <c r="AT5" s="126"/>
      <c r="AU5" s="126"/>
      <c r="AW5" s="204"/>
      <c r="AX5" s="204"/>
      <c r="AY5" s="204"/>
    </row>
    <row r="6" spans="1:51" s="126" customFormat="1" ht="28.5" customHeight="1">
      <c r="A6" s="775"/>
      <c r="B6" s="1356"/>
      <c r="C6" s="929" t="s">
        <v>1944</v>
      </c>
      <c r="D6" s="929">
        <v>1</v>
      </c>
      <c r="E6" s="929" t="str">
        <f>IF(invoice_status=-1,"Edit",IF(invoice_status=1,"Issue",IF(invoice_status=2,"Fullfilied",IF(invoice_status=3,"Partial",1))))</f>
        <v>Issue</v>
      </c>
      <c r="F6" s="1357"/>
      <c r="G6" s="904"/>
      <c r="H6" s="904"/>
      <c r="I6" s="1314"/>
      <c r="J6" s="1328" t="s">
        <v>59</v>
      </c>
      <c r="K6" s="1330" t="s">
        <v>851</v>
      </c>
      <c r="L6" s="1331"/>
      <c r="M6" s="1328" t="s">
        <v>126</v>
      </c>
      <c r="N6" s="1328" t="s">
        <v>180</v>
      </c>
      <c r="O6" s="1328" t="s">
        <v>1951</v>
      </c>
      <c r="P6" s="1328" t="s">
        <v>2436</v>
      </c>
      <c r="Q6" s="1328" t="s">
        <v>2574</v>
      </c>
      <c r="R6" s="1396" t="s">
        <v>841</v>
      </c>
      <c r="S6" s="1319" t="str">
        <f>"តម្លៃឯកតា"&amp;IF(invoice_branch="",""," ("&amp;invoice_currency_symbol&amp;")")</f>
        <v>តម្លៃឯកតា ($)</v>
      </c>
      <c r="T6" s="1330"/>
      <c r="U6" s="1331"/>
      <c r="V6" s="1330" t="str">
        <f>"បញ្ចុះតម្លៃ"&amp;IF(invoice_branch="",""," ("&amp;invoice_currency_symbol&amp;")")</f>
        <v>បញ្ចុះតម្លៃ ($)</v>
      </c>
      <c r="W6" s="1331"/>
      <c r="X6" s="1330" t="str">
        <f>"សរុបតម្លៃ"&amp;IF(invoice_branch="",""," ("&amp;invoice_currency_symbol&amp;")")</f>
        <v>សរុបតម្លៃ ($)</v>
      </c>
      <c r="Y6" s="1331"/>
      <c r="Z6" s="1316" t="s">
        <v>1761</v>
      </c>
      <c r="AA6" s="962" t="s">
        <v>2349</v>
      </c>
      <c r="AB6" s="962" t="s">
        <v>58</v>
      </c>
      <c r="AC6" s="962" t="s">
        <v>76</v>
      </c>
      <c r="AD6" s="962" t="s">
        <v>2362</v>
      </c>
      <c r="AE6" s="962" t="s">
        <v>373</v>
      </c>
      <c r="AF6" s="962" t="s">
        <v>369</v>
      </c>
      <c r="AG6" s="962" t="s">
        <v>2567</v>
      </c>
      <c r="AH6" s="962" t="s">
        <v>2351</v>
      </c>
      <c r="AI6" s="962" t="s">
        <v>2566</v>
      </c>
      <c r="AJ6" s="962" t="s">
        <v>2566</v>
      </c>
      <c r="AK6" s="962" t="s">
        <v>2563</v>
      </c>
      <c r="AL6" s="962" t="s">
        <v>2435</v>
      </c>
      <c r="AM6" s="962" t="s">
        <v>2352</v>
      </c>
      <c r="AN6" s="962" t="s">
        <v>2353</v>
      </c>
      <c r="AO6" s="962" t="s">
        <v>2354</v>
      </c>
      <c r="AP6" s="962" t="s">
        <v>2355</v>
      </c>
      <c r="AQ6" s="962" t="s">
        <v>2357</v>
      </c>
      <c r="AR6" s="1477" t="s">
        <v>2596</v>
      </c>
      <c r="AW6" s="204" t="s">
        <v>2652</v>
      </c>
      <c r="AX6" s="1653" t="s">
        <v>2654</v>
      </c>
      <c r="AY6" s="1654" t="s">
        <v>2651</v>
      </c>
    </row>
    <row r="7" spans="1:51" ht="19.5" customHeight="1">
      <c r="A7" s="765"/>
      <c r="B7" s="1358"/>
      <c r="C7" s="932"/>
      <c r="D7" s="932"/>
      <c r="E7" s="932"/>
      <c r="F7" s="1359"/>
      <c r="G7" s="213"/>
      <c r="I7" s="426" t="s">
        <v>2264</v>
      </c>
      <c r="J7" s="1329" t="s">
        <v>10</v>
      </c>
      <c r="K7" s="1345" t="s">
        <v>132</v>
      </c>
      <c r="L7" s="1346"/>
      <c r="M7" s="1329" t="s">
        <v>122</v>
      </c>
      <c r="N7" s="1329" t="s">
        <v>93</v>
      </c>
      <c r="O7" s="1329" t="s">
        <v>836</v>
      </c>
      <c r="P7" s="1329" t="s">
        <v>2437</v>
      </c>
      <c r="Q7" s="1329" t="s">
        <v>2573</v>
      </c>
      <c r="R7" s="1397" t="s">
        <v>577</v>
      </c>
      <c r="S7" s="1335" t="s">
        <v>2564</v>
      </c>
      <c r="T7" s="1336"/>
      <c r="U7" s="1336" t="s">
        <v>2570</v>
      </c>
      <c r="V7" s="1338" t="s">
        <v>113</v>
      </c>
      <c r="W7" s="1339"/>
      <c r="X7" s="1338" t="s">
        <v>112</v>
      </c>
      <c r="Y7" s="1339"/>
      <c r="Z7" s="1334" t="s">
        <v>403</v>
      </c>
      <c r="AA7" s="963" t="s">
        <v>2358</v>
      </c>
      <c r="AB7" s="963" t="str">
        <f>"Dis Price"</f>
        <v>Dis Price</v>
      </c>
      <c r="AC7" s="963" t="s">
        <v>2569</v>
      </c>
      <c r="AD7" s="963" t="s">
        <v>94</v>
      </c>
      <c r="AE7" s="963" t="s">
        <v>38</v>
      </c>
      <c r="AF7" s="963" t="s">
        <v>822</v>
      </c>
      <c r="AG7" s="963" t="s">
        <v>845</v>
      </c>
      <c r="AH7" s="963" t="s">
        <v>846</v>
      </c>
      <c r="AI7" s="963" t="s">
        <v>2565</v>
      </c>
      <c r="AJ7" s="963" t="s">
        <v>2568</v>
      </c>
      <c r="AK7" s="963" t="s">
        <v>2562</v>
      </c>
      <c r="AL7" s="963" t="s">
        <v>2434</v>
      </c>
      <c r="AM7" s="963" t="s">
        <v>1816</v>
      </c>
      <c r="AN7" s="963" t="s">
        <v>2359</v>
      </c>
      <c r="AO7" s="963" t="s">
        <v>2360</v>
      </c>
      <c r="AP7" s="963" t="s">
        <v>2361</v>
      </c>
      <c r="AQ7" s="963" t="s">
        <v>2356</v>
      </c>
      <c r="AR7" s="939" t="s">
        <v>2595</v>
      </c>
      <c r="AS7" s="126" t="s">
        <v>2618</v>
      </c>
      <c r="AT7" s="126" t="s">
        <v>2619</v>
      </c>
      <c r="AU7" s="126" t="s">
        <v>845</v>
      </c>
      <c r="AV7" s="143" t="s">
        <v>2565</v>
      </c>
      <c r="AW7" s="204" t="s">
        <v>2653</v>
      </c>
      <c r="AX7" s="1653"/>
      <c r="AY7" s="1654"/>
    </row>
    <row r="8" spans="1:51" ht="27" customHeight="1">
      <c r="A8" s="765"/>
      <c r="B8" s="1360"/>
      <c r="C8" s="935" t="s">
        <v>1941</v>
      </c>
      <c r="D8" s="1210"/>
      <c r="E8" s="936" t="s">
        <v>1945</v>
      </c>
      <c r="F8" s="1361">
        <f>COUNTIFS(SaleInvoiceData!AB6:AB10000,"&gt;0")</f>
        <v>0</v>
      </c>
      <c r="G8" s="905"/>
      <c r="H8" s="905"/>
      <c r="I8" s="426">
        <f>IF(M8="","",MID(M8,1,5)*1)</f>
        <v>1</v>
      </c>
      <c r="J8" s="1327">
        <f>IF(M8="","",1)</f>
        <v>1</v>
      </c>
      <c r="K8" s="1320" t="str">
        <f t="shared" ref="K8:K39" si="0">IF(M8="","",VLOOKUP(I8,product_list,2,FALSE))</f>
        <v>KS01</v>
      </c>
      <c r="L8" s="1321"/>
      <c r="M8" s="1311" t="s">
        <v>2607</v>
      </c>
      <c r="N8" s="1322">
        <v>10</v>
      </c>
      <c r="O8" s="1322"/>
      <c r="P8" s="1311" t="s">
        <v>2344</v>
      </c>
      <c r="Q8" s="1401"/>
      <c r="R8" s="1399"/>
      <c r="S8" s="1323" t="str">
        <f t="shared" ref="S8:S39" si="1">IF(M8="","",invoice_currency_symbol)</f>
        <v>$</v>
      </c>
      <c r="T8" s="1337"/>
      <c r="U8" s="1324">
        <f>IF(M8="","",IF(AR8&gt;0,AR8,IF(P8=AM8,AE8,IF(P8=AN8,ROUND(AE8/Z8,9),IF(P8=AO8,ROUND(AE8/AA8,9))))))</f>
        <v>20</v>
      </c>
      <c r="V8" s="1332" t="str">
        <f t="shared" ref="V8:V39" si="2">IF(W8=0,"",invoice_currency_symbol)</f>
        <v/>
      </c>
      <c r="W8" s="1333"/>
      <c r="X8" s="1325" t="str">
        <f t="shared" ref="X8:X39" si="3">IF(M8="","",invoice_currency_symbol)</f>
        <v>$</v>
      </c>
      <c r="Y8" s="1326">
        <f>IF(M8="","",IF(T8&gt;0,N8*T8-W8,N8*U8-W8))</f>
        <v>200</v>
      </c>
      <c r="Z8" s="1230" cm="1">
        <f t="array" ref="Z8">IF(M8="","",IF(P8=AM8,1,Slookup(MID(AM8,1,3)*1,UomConversion!$D$8:$J$500,5,UomConversion!$E$8:$E$500,MID(P8,1,3)*1,UomConversion!$J$8:$J$500,1)))</f>
        <v>1</v>
      </c>
      <c r="AA8" s="1230">
        <f t="shared" ref="AA8" si="4">IF(AND(M8="",ISNA(VLOOKUP(I8,product_list,19,FALSE))),"",VLOOKUP(I8,product_list,19,FALSE))</f>
        <v>72</v>
      </c>
      <c r="AB8" s="1231">
        <f>IF(M8="","",IF(O8*U8&gt;0,O8*U8,0)+W8)</f>
        <v>0</v>
      </c>
      <c r="AC8" s="1232">
        <f>IF(M8="","",IF(P8=AM8,AD8,IF(P8=AN8,ROUND(AD8/Z8,9),IF(P8=AO8,ROUND(AD8/AA8,9)))))</f>
        <v>18</v>
      </c>
      <c r="AD8" s="1230">
        <f>IF(M8="","",VLOOKUP(I8,product_list,12,FALSE))</f>
        <v>18</v>
      </c>
      <c r="AE8" s="1231">
        <f>IFERROR(IF(M8="","",IF(invoice_price_type_id=1,VLOOKUP(I8,product_list,13,FALSE),IF(invoice_price_type_id=2,VLOOKUP(I8,product_list,14,FALSE),IF(invoice_price_type_id=3,VLOOKUP(I8,product_list,15,FALSE),IF(invoice_price_type_id=4,VLOOKUP(I8,product_list,16,FALSE),IF(invoice_price_type_id=5,VLOOKUP(I8,product_list,12,FALSE),"")))))),"")</f>
        <v>20</v>
      </c>
      <c r="AF8" s="1233">
        <f t="shared" ref="AF8" si="5">IF(M8="","",VLOOKUP(I8,product_list,20,FALSE))</f>
        <v>1</v>
      </c>
      <c r="AG8" s="1230">
        <f>IF(I8="","",IF(ISNA(MATCH(I8,IF(invoice_location_id=1,'[1]1_inventory_totals'!$C$8:$C$10000,IF(invoice_location_id=2,'[1]2_inventory_totals'!$C$8:$C$10000,0)),0)),0,IF(AU8&gt;0,1,0)))</f>
        <v>1</v>
      </c>
      <c r="AH8" s="1230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216</v>
      </c>
      <c r="AI8" s="1230">
        <f>IF(M8="","",IF(ISNA(MATCH(I8,'[1]1_group_totals'!$C$8:$C$10000)),0,IF(AV8&gt;0,1,0)))</f>
        <v>1</v>
      </c>
      <c r="AJ8" s="1230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216</v>
      </c>
      <c r="AK8" s="1230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1010</v>
      </c>
      <c r="AL8" s="1230">
        <f ca="1">IF(M8="","",SUMIFS('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0</v>
      </c>
      <c r="AM8" s="1230" t="str">
        <f>IF(M8="","",VLOOKUP(I8,product_list,11,FALSE))</f>
        <v>014.Case/6boxs</v>
      </c>
      <c r="AN8" s="1230" t="str">
        <f>IF(OR(ISNA(MATCH(MID(AM8,1,3)*1,UomConversion!$D$8:$D$500,0)),M8=""),"",IF(AS8="","",AS8))</f>
        <v>009.Box</v>
      </c>
      <c r="AO8" s="1230" t="str">
        <f>IF(AND(AP8&gt;0,COUNTIFS(UomConversion!$D$8:$D$500,MID(AM8,1,3)*1,UomConversion!$J$8:$J$500,1)&gt;1),TEXT(AP8,"000")&amp;"."&amp;VLOOKUP(AP8,uom_list,4,FALSE),"")</f>
        <v>002.PCS</v>
      </c>
      <c r="AP8" s="1230">
        <f>IF(AND(AT8&gt;0,M8&lt;&gt;""),AT8,"")</f>
        <v>2</v>
      </c>
      <c r="AQ8" s="1230">
        <f>IF(M8="","",IF(Z8&gt;0,AA8/Z8,""))</f>
        <v>72</v>
      </c>
      <c r="AR8" s="204">
        <f>IF(M8="","",SUMIFS(ProductPrice!$N$28:$N$10020,ProductPrice!$D$28:$D$10020,I8,ProductPrice!$G$28:$G$10020,invoice_branch_id,ProductPrice!$H$28:$H$10020,invoice_price_type_id,ProductPrice!$I$28:$I$10020,MID(P8,1,3)*1,ProductPrice!$Q$28:$Q$10020,1))</f>
        <v>0</v>
      </c>
      <c r="AS8" s="126" t="str">
        <f t="shared" ref="AS8:AS39" si="6">IF(OR(ISNA(VLOOKUP(MID(AM8,1,3)*1,uom_converion_list,2,FALSE)),M8=""),"",TEXT(VLOOKUP(MID(AM8,1,3)*1,uom_converion_list,2,FALSE),"000")&amp;"."&amp;VLOOKUP(VLOOKUP(MID(AM8,1,3)*1,uom_converion_list,2,FALSE),uom_list,4,FALSE))</f>
        <v>009.Box</v>
      </c>
      <c r="AT8" s="126" cm="1">
        <f t="array" ref="AT8">IF(M8="","",IF(ISNA(Slookup(MID(AM8,1,3)*1,UomConversion!$D$8:$J$500,2,UomConversion!$I$8:$I$500,1,UomConversion!$J$8:$J$500,1)),"",Slookup(MID(AM8,1,3)*1,UomConversion!$D$8:$J$500,2,UomConversion!$I$8:$I$500,1,UomConversion!$J$8:$J$500,1)))</f>
        <v>2</v>
      </c>
      <c r="AU8" s="126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1010</v>
      </c>
      <c r="AV8" s="143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1010</v>
      </c>
      <c r="AW8" s="204">
        <f>IF(M8="","",IF((N8+O8)*(AA8/Z8)&gt;0,(N8+O8)*(AA8/Z8),0))</f>
        <v>720</v>
      </c>
      <c r="AX8" s="204">
        <f>IF(M8="","",SUMIFS($AW$8:AW8,$I$8:I8,I8))</f>
        <v>720</v>
      </c>
      <c r="AY8" s="204">
        <f>IF(M8="","",AK8-AX8)</f>
        <v>290</v>
      </c>
    </row>
    <row r="9" spans="1:51" ht="27" customHeight="1">
      <c r="A9" s="765"/>
      <c r="B9" s="1358"/>
      <c r="C9" s="937">
        <v>46185</v>
      </c>
      <c r="D9" s="1211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2</v>
      </c>
      <c r="E9" s="938" t="str">
        <f>RIGHT(YEAR(C9),2)&amp;IF(invoice_type_id="","",VLOOKUP(invoice_type_id,invoice_type_list,3,FALSE))&amp;TEXT(invoice_no,"000000")</f>
        <v>26INV000001</v>
      </c>
      <c r="F9" s="1362">
        <f>COUNTIFS(SaleInvoiceData!AB6:AB10000,"&gt;0")+1</f>
        <v>1</v>
      </c>
      <c r="G9" s="213"/>
      <c r="I9" s="426" t="str">
        <f t="shared" ref="I9:I72" si="7">IF(M9="","",MID(M9,1,5)*1)</f>
        <v/>
      </c>
      <c r="J9" s="1327" t="str">
        <f>IF(M9="","",J8+1)</f>
        <v/>
      </c>
      <c r="K9" s="1320" t="str">
        <f t="shared" si="0"/>
        <v/>
      </c>
      <c r="L9" s="1321"/>
      <c r="M9" s="1311"/>
      <c r="N9" s="1322"/>
      <c r="O9" s="1322"/>
      <c r="P9" s="1311"/>
      <c r="Q9" s="1401"/>
      <c r="R9" s="1399"/>
      <c r="S9" s="1323" t="str">
        <f t="shared" si="1"/>
        <v/>
      </c>
      <c r="T9" s="1337"/>
      <c r="U9" s="1324" t="str">
        <f t="shared" ref="U9:U72" si="8">IF(M9="","",IF(P9=AM9,AE9,IF(P9=AN9,ROUND(AE9/Z9,9),IF(P9=AO9,ROUND(AE9/AA9,9)))))</f>
        <v/>
      </c>
      <c r="V9" s="1332" t="str">
        <f t="shared" si="2"/>
        <v/>
      </c>
      <c r="W9" s="1333"/>
      <c r="X9" s="1325" t="str">
        <f t="shared" si="3"/>
        <v/>
      </c>
      <c r="Y9" s="1326" t="str">
        <f t="shared" ref="Y9:Y72" si="9">IF(M9="","",IF(T9&gt;0,N9*T9-W9,N9*U9-W9))</f>
        <v/>
      </c>
      <c r="Z9" s="1230" t="str" cm="1">
        <f t="array" ref="Z9">IF(M9="","",IF(P9=AM9,1,Slookup(MID(AM9,1,3)*1,UomConversion!$D$8:$J$500,5,UomConversion!$E$8:$E$500,MID(P9,1,3)*1,UomConversion!$J$8:$J$500,1)))</f>
        <v/>
      </c>
      <c r="AA9" s="1230" t="str">
        <f t="shared" ref="AA9:AA72" si="10">IF(AND(M9="",ISNA(VLOOKUP(I9,product_list,19,FALSE))),"",VLOOKUP(I9,product_list,19,FALSE))</f>
        <v/>
      </c>
      <c r="AB9" s="1231" t="str">
        <f t="shared" ref="AB9:AB72" si="11">IF(M9="","",IF(O9*U9&gt;0,O9*U9,0)+W9)</f>
        <v/>
      </c>
      <c r="AC9" s="1232" t="str">
        <f t="shared" ref="AC9:AC72" si="12">IF(M9="","",IF(P9=AM9,AD9,IF(P9=AN9,ROUND(AD9/Z9,9),IF(P9=AO9,ROUND(AD9/AA9,9)))))</f>
        <v/>
      </c>
      <c r="AD9" s="1230" t="str">
        <f>IF(M9="","",VLOOKUP(I9,product_list,12,FALSE))</f>
        <v/>
      </c>
      <c r="AE9" s="1231" t="str">
        <f>IFERROR(IF(M9="","",IF(invoice_price_type_id=1,VLOOKUP(I9,product_list,13,FALSE),IF(invoice_price_type_id=2,VLOOKUP(I9,product_list,14,FALSE),IF(invoice_price_type_id=3,VLOOKUP(I9,product_list,15,FALSE),IF(invoice_price_type_id=4,VLOOKUP(I9,product_list,16,FALSE),IF(invoice_price_type_id=5,VLOOKUP(I9,product_list,12,FALSE),"")))))),"")</f>
        <v/>
      </c>
      <c r="AF9" s="1233" t="str">
        <f t="shared" ref="AF9:AF72" si="13">IF(M9="","",VLOOKUP(I9,product_list,20,FALSE))</f>
        <v/>
      </c>
      <c r="AG9" s="1230" t="str">
        <f>IF(I9="","",IF(ISNA(MATCH(I9,IF(invoice_location_id=1,'[1]1_inventory_totals'!$C$8:$C$10000,IF(invoice_location_id=2,'[1]2_inventory_totals'!$C$8:$C$10000,0)),0)),0,IF(AU9&gt;0,1,0)))</f>
        <v/>
      </c>
      <c r="AH9" s="1230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I9" s="1230" t="str">
        <f>IF(M9="","",IF(ISNA(MATCH(I9,'[1]1_group_totals'!$C$8:$C$10000)),0,IF(AV9&gt;0,1,0)))</f>
        <v/>
      </c>
      <c r="AJ9" s="1230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K9" s="1230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L9" s="1230" t="str">
        <f>IF(M9="","",SUMIFS('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M9" s="1230" t="str">
        <f>IF(M9="","",VLOOKUP(I9,product_list,11,FALSE))</f>
        <v/>
      </c>
      <c r="AN9" s="1230" t="str">
        <f>IF(OR(ISNA(MATCH(MID(AM9,1,3)*1,UomConversion!$D$8:$D$500,0)),M9=""),"",IF(AS9="","",AS9))</f>
        <v/>
      </c>
      <c r="AO9" s="1230" t="str">
        <f>IF(AND(AP9&gt;0,COUNTIFS(UomConversion!$D$8:$D$500,MID(AM9,1,3)*1,UomConversion!$J$8:$J$500,1)&gt;1),TEXT(AP9,"000")&amp;"."&amp;VLOOKUP(AP9,uom_list,4,FALSE),"")</f>
        <v/>
      </c>
      <c r="AP9" s="1230" t="str">
        <f t="shared" ref="AP9:AP72" si="14">IF(AND(AT9&gt;0,M9&lt;&gt;""),AT9,"")</f>
        <v/>
      </c>
      <c r="AQ9" s="1230" t="str">
        <f t="shared" ref="AQ9:AQ72" si="15">IF(M9="","",IF(Z9&gt;0,AA9/Z9,""))</f>
        <v/>
      </c>
      <c r="AR9" s="204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S9" s="126" t="str">
        <f t="shared" ref="AS9:AS72" si="16">IF(OR(ISNA(VLOOKUP(MID(AM9,1,3)*1,uom_converion_list,2,FALSE)),M9=""),"",TEXT(VLOOKUP(MID(AM9,1,3)*1,uom_converion_list,2,FALSE),"000")&amp;"."&amp;VLOOKUP(VLOOKUP(MID(AM9,1,3)*1,uom_converion_list,2,FALSE),uom_list,4,FALSE))</f>
        <v/>
      </c>
      <c r="AT9" s="126" t="str" cm="1">
        <f t="array" ref="AT9">IF(M9="","",IF(ISNA(Slookup(MID(AM9,1,3)*1,UomConversion!$D$8:$J$500,2,UomConversion!$I$8:$I$500,1,UomConversion!$J$8:$J$500,1)),"",Slookup(MID(AM9,1,3)*1,UomConversion!$D$8:$J$500,2,UomConversion!$I$8:$I$500,1,UomConversion!$J$8:$J$500,1)))</f>
        <v/>
      </c>
      <c r="AU9" s="126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V9" s="143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W9" s="204" t="str">
        <f t="shared" ref="AW9:AW72" si="17">IF(M9="","",IF((N9+O9)*(AA9/Z9)&gt;0,(N9+O9)*(AA9/Z9),0))</f>
        <v/>
      </c>
      <c r="AX9" s="204" t="str">
        <f>IF(M9="","",SUMIFS($AW$8:AW9,$I$8:I9,I9))</f>
        <v/>
      </c>
      <c r="AY9" s="204" t="str">
        <f t="shared" ref="AY9:AY72" si="18">IF(M9="","",AK9-AX9)</f>
        <v/>
      </c>
    </row>
    <row r="10" spans="1:51" ht="27" customHeight="1">
      <c r="A10" s="765"/>
      <c r="B10" s="1358"/>
      <c r="C10" s="945" t="s">
        <v>2174</v>
      </c>
      <c r="D10" s="1201"/>
      <c r="E10" s="939" t="str">
        <f>IF(ISNA(MATCH(invoice_no*1,SaleInvoiceData!C6:C10000,0)),"not exist","exist")</f>
        <v>not exist</v>
      </c>
      <c r="F10" s="1363"/>
      <c r="I10" s="426" t="str">
        <f t="shared" si="7"/>
        <v/>
      </c>
      <c r="J10" s="1327" t="str">
        <f t="shared" ref="J10:J30" si="19">IF(M10="","",J9+1)</f>
        <v/>
      </c>
      <c r="K10" s="1320" t="str">
        <f t="shared" si="0"/>
        <v/>
      </c>
      <c r="L10" s="1321"/>
      <c r="M10" s="1311"/>
      <c r="N10" s="1322"/>
      <c r="O10" s="1322"/>
      <c r="P10" s="1311"/>
      <c r="Q10" s="1401"/>
      <c r="R10" s="1399"/>
      <c r="S10" s="1323" t="str">
        <f t="shared" si="1"/>
        <v/>
      </c>
      <c r="T10" s="1337"/>
      <c r="U10" s="1324" t="str">
        <f t="shared" si="8"/>
        <v/>
      </c>
      <c r="V10" s="1332" t="str">
        <f t="shared" si="2"/>
        <v/>
      </c>
      <c r="W10" s="1333"/>
      <c r="X10" s="1325" t="str">
        <f t="shared" si="3"/>
        <v/>
      </c>
      <c r="Y10" s="1326" t="str">
        <f t="shared" si="9"/>
        <v/>
      </c>
      <c r="Z10" s="1230" t="str" cm="1">
        <f t="array" ref="Z10">IF(M10="","",IF(P10=AM10,1,Slookup(MID(AM10,1,3)*1,UomConversion!$D$8:$J$500,5,UomConversion!$E$8:$E$500,MID(P10,1,3)*1,UomConversion!$J$8:$J$500,1)))</f>
        <v/>
      </c>
      <c r="AA10" s="1230" t="str">
        <f t="shared" si="10"/>
        <v/>
      </c>
      <c r="AB10" s="1231" t="str">
        <f t="shared" si="11"/>
        <v/>
      </c>
      <c r="AC10" s="1232" t="str">
        <f t="shared" si="12"/>
        <v/>
      </c>
      <c r="AD10" s="1230" t="str">
        <f>IF(M10="","",VLOOKUP(I10,product_list,12,FALSE))</f>
        <v/>
      </c>
      <c r="AE10" s="1231" t="str">
        <f>IFERROR(IF(M10="","",IF(invoice_price_type_id=1,VLOOKUP(I10,product_list,13,FALSE),IF(invoice_price_type_id=2,VLOOKUP(I10,product_list,14,FALSE),IF(invoice_price_type_id=3,VLOOKUP(I10,product_list,15,FALSE),IF(invoice_price_type_id=4,VLOOKUP(I10,product_list,16,FALSE),IF(invoice_price_type_id=5,VLOOKUP(I10,product_list,12,FALSE),"")))))),"")</f>
        <v/>
      </c>
      <c r="AF10" s="1233" t="str">
        <f t="shared" si="13"/>
        <v/>
      </c>
      <c r="AG10" s="1230" t="str">
        <f>IF(I10="","",IF(ISNA(MATCH(I10,IF(invoice_location_id=1,'[1]1_inventory_totals'!$C$8:$C$10000,IF(invoice_location_id=2,'[1]2_inventory_totals'!$C$8:$C$10000,0)),0)),0,IF(AU10&gt;0,1,0)))</f>
        <v/>
      </c>
      <c r="AH10" s="1230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I10" s="1230" t="str">
        <f>IF(M10="","",IF(ISNA(MATCH(I10,'[1]1_group_totals'!$C$8:$C$10000)),0,IF(AV10&gt;0,1,0)))</f>
        <v/>
      </c>
      <c r="AJ10" s="1230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K10" s="1230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L10" s="1230" t="str">
        <f>IF(M10="","",SUMIFS('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M10" s="1230" t="str">
        <f>IF(M10="","",VLOOKUP(I10,product_list,11,FALSE))</f>
        <v/>
      </c>
      <c r="AN10" s="1230" t="str">
        <f>IF(OR(ISNA(MATCH(MID(AM10,1,3)*1,UomConversion!$D$8:$D$500,0)),M10=""),"",IF(AS10="","",AS10))</f>
        <v/>
      </c>
      <c r="AO10" s="1230" t="str">
        <f>IF(AND(AP10&gt;0,COUNTIFS(UomConversion!$D$8:$D$500,MID(AM10,1,3)*1,UomConversion!$J$8:$J$500,1)&gt;1),TEXT(AP10,"000")&amp;"."&amp;VLOOKUP(AP10,uom_list,4,FALSE),"")</f>
        <v/>
      </c>
      <c r="AP10" s="1230" t="str">
        <f t="shared" si="14"/>
        <v/>
      </c>
      <c r="AQ10" s="1230" t="str">
        <f t="shared" si="15"/>
        <v/>
      </c>
      <c r="AR10" s="204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S10" s="126" t="str">
        <f t="shared" si="16"/>
        <v/>
      </c>
      <c r="AT10" s="126" t="str" cm="1">
        <f t="array" ref="AT10">IF(M10="","",IF(ISNA(Slookup(MID(AM10,1,3)*1,UomConversion!$D$8:$J$500,2,UomConversion!$I$8:$I$500,1,UomConversion!$J$8:$J$500,1)),"",Slookup(MID(AM10,1,3)*1,UomConversion!$D$8:$J$500,2,UomConversion!$I$8:$I$500,1,UomConversion!$J$8:$J$500,1)))</f>
        <v/>
      </c>
      <c r="AU10" s="12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V10" s="143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W10" s="204" t="str">
        <f t="shared" si="17"/>
        <v/>
      </c>
      <c r="AX10" s="204" t="str">
        <f>IF(M10="","",SUMIFS($AW$8:AW10,$I$8:I10,I10))</f>
        <v/>
      </c>
      <c r="AY10" s="204" t="str">
        <f t="shared" si="18"/>
        <v/>
      </c>
    </row>
    <row r="11" spans="1:51" ht="27" customHeight="1">
      <c r="A11" s="765"/>
      <c r="B11" s="1358"/>
      <c r="C11" s="1651" t="s">
        <v>1929</v>
      </c>
      <c r="D11" s="1652"/>
      <c r="E11" s="1217">
        <f>MID(invoice_customer,1,4)*1</f>
        <v>3</v>
      </c>
      <c r="F11" s="1364"/>
      <c r="G11" s="213"/>
      <c r="I11" s="426" t="str">
        <f t="shared" si="7"/>
        <v/>
      </c>
      <c r="J11" s="1327" t="str">
        <f t="shared" si="19"/>
        <v/>
      </c>
      <c r="K11" s="1320" t="str">
        <f t="shared" si="0"/>
        <v/>
      </c>
      <c r="L11" s="1321"/>
      <c r="M11" s="1311"/>
      <c r="N11" s="1322"/>
      <c r="O11" s="1322"/>
      <c r="P11" s="1311"/>
      <c r="Q11" s="1401"/>
      <c r="R11" s="1399"/>
      <c r="S11" s="1323" t="str">
        <f t="shared" si="1"/>
        <v/>
      </c>
      <c r="T11" s="1337"/>
      <c r="U11" s="1324" t="str">
        <f t="shared" si="8"/>
        <v/>
      </c>
      <c r="V11" s="1332" t="str">
        <f t="shared" si="2"/>
        <v/>
      </c>
      <c r="W11" s="1333"/>
      <c r="X11" s="1325" t="str">
        <f t="shared" si="3"/>
        <v/>
      </c>
      <c r="Y11" s="1326" t="str">
        <f t="shared" si="9"/>
        <v/>
      </c>
      <c r="Z11" s="1230" t="str" cm="1">
        <f t="array" ref="Z11">IF(M11="","",IF(P11=AM11,1,Slookup(MID(AM11,1,3)*1,UomConversion!$D$8:$J$500,5,UomConversion!$E$8:$E$500,MID(P11,1,3)*1,UomConversion!$J$8:$J$500,1)))</f>
        <v/>
      </c>
      <c r="AA11" s="1230" t="str">
        <f t="shared" si="10"/>
        <v/>
      </c>
      <c r="AB11" s="1231" t="str">
        <f t="shared" si="11"/>
        <v/>
      </c>
      <c r="AC11" s="1232" t="str">
        <f t="shared" si="12"/>
        <v/>
      </c>
      <c r="AD11" s="1230" t="str">
        <f>IF(M11="","",VLOOKUP(I11,product_list,12,FALSE))</f>
        <v/>
      </c>
      <c r="AE11" s="1231" t="str">
        <f>IFERROR(IF(M11="","",IF(invoice_price_type_id=1,VLOOKUP(I11,product_list,13,FALSE),IF(invoice_price_type_id=2,VLOOKUP(I11,product_list,14,FALSE),IF(invoice_price_type_id=3,VLOOKUP(I11,product_list,15,FALSE),IF(invoice_price_type_id=4,VLOOKUP(I11,product_list,16,FALSE),IF(invoice_price_type_id=5,VLOOKUP(I11,product_list,12,FALSE),"")))))),"")</f>
        <v/>
      </c>
      <c r="AF11" s="1233" t="str">
        <f t="shared" si="13"/>
        <v/>
      </c>
      <c r="AG11" s="1230" t="str">
        <f>IF(I11="","",IF(ISNA(MATCH(I11,IF(invoice_location_id=1,'[1]1_inventory_totals'!$C$8:$C$10000,IF(invoice_location_id=2,'[1]2_inventory_totals'!$C$8:$C$10000,0)),0)),0,IF(AU11&gt;0,1,0)))</f>
        <v/>
      </c>
      <c r="AH11" s="1230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I11" s="1230" t="str">
        <f>IF(M11="","",IF(ISNA(MATCH(I11,'[1]1_group_totals'!$C$8:$C$10000)),0,IF(AV11&gt;0,1,0)))</f>
        <v/>
      </c>
      <c r="AJ11" s="1230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K11" s="1230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L11" s="1230" t="str">
        <f>IF(M11="","",SUMIFS('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M11" s="1230" t="str">
        <f>IF(M11="","",VLOOKUP(I11,product_list,11,FALSE))</f>
        <v/>
      </c>
      <c r="AN11" s="1230" t="str">
        <f>IF(OR(ISNA(MATCH(MID(AM11,1,3)*1,UomConversion!$D$8:$D$500,0)),M11=""),"",IF(AS11="","",AS11))</f>
        <v/>
      </c>
      <c r="AO11" s="1230" t="str">
        <f>IF(AND(AP11&gt;0,COUNTIFS(UomConversion!$D$8:$D$500,MID(AM11,1,3)*1,UomConversion!$J$8:$J$500,1)&gt;1),TEXT(AP11,"000")&amp;"."&amp;VLOOKUP(AP11,uom_list,4,FALSE),"")</f>
        <v/>
      </c>
      <c r="AP11" s="1230" t="str">
        <f t="shared" si="14"/>
        <v/>
      </c>
      <c r="AQ11" s="1230" t="str">
        <f t="shared" si="15"/>
        <v/>
      </c>
      <c r="AR11" s="204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S11" s="126" t="str">
        <f t="shared" si="16"/>
        <v/>
      </c>
      <c r="AT11" s="126" t="str" cm="1">
        <f t="array" ref="AT11">IF(M11="","",IF(ISNA(Slookup(MID(AM11,1,3)*1,UomConversion!$D$8:$J$500,2,UomConversion!$I$8:$I$500,1,UomConversion!$J$8:$J$500,1)),"",Slookup(MID(AM11,1,3)*1,UomConversion!$D$8:$J$500,2,UomConversion!$I$8:$I$500,1,UomConversion!$J$8:$J$500,1)))</f>
        <v/>
      </c>
      <c r="AU11" s="12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V11" s="143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W11" s="204" t="str">
        <f t="shared" si="17"/>
        <v/>
      </c>
      <c r="AX11" s="204" t="str">
        <f>IF(M11="","",SUMIFS($AW$8:AW11,$I$8:I11,I11))</f>
        <v/>
      </c>
      <c r="AY11" s="204" t="str">
        <f t="shared" si="18"/>
        <v/>
      </c>
    </row>
    <row r="12" spans="1:51" ht="27" customHeight="1">
      <c r="A12" s="765"/>
      <c r="B12" s="1358"/>
      <c r="C12" s="945" t="s">
        <v>1829</v>
      </c>
      <c r="D12" s="1201"/>
      <c r="E12" s="945" t="s">
        <v>2572</v>
      </c>
      <c r="F12" s="1363"/>
      <c r="G12" s="213"/>
      <c r="I12" s="426" t="str">
        <f t="shared" si="7"/>
        <v/>
      </c>
      <c r="J12" s="1327" t="str">
        <f t="shared" si="19"/>
        <v/>
      </c>
      <c r="K12" s="1320" t="str">
        <f t="shared" si="0"/>
        <v/>
      </c>
      <c r="L12" s="1321"/>
      <c r="M12" s="1311"/>
      <c r="N12" s="1322"/>
      <c r="O12" s="1322"/>
      <c r="P12" s="1311"/>
      <c r="Q12" s="1401"/>
      <c r="R12" s="1399"/>
      <c r="S12" s="1323" t="str">
        <f t="shared" si="1"/>
        <v/>
      </c>
      <c r="T12" s="1337"/>
      <c r="U12" s="1324" t="str">
        <f t="shared" si="8"/>
        <v/>
      </c>
      <c r="V12" s="1332" t="str">
        <f t="shared" si="2"/>
        <v/>
      </c>
      <c r="W12" s="1333"/>
      <c r="X12" s="1325" t="str">
        <f t="shared" si="3"/>
        <v/>
      </c>
      <c r="Y12" s="1326" t="str">
        <f t="shared" si="9"/>
        <v/>
      </c>
      <c r="Z12" s="1230" t="str" cm="1">
        <f t="array" ref="Z12">IF(M12="","",IF(P12=AM12,1,Slookup(MID(AM12,1,3)*1,UomConversion!$D$8:$J$500,5,UomConversion!$E$8:$E$500,MID(P12,1,3)*1,UomConversion!$J$8:$J$500,1)))</f>
        <v/>
      </c>
      <c r="AA12" s="1230" t="str">
        <f t="shared" si="10"/>
        <v/>
      </c>
      <c r="AB12" s="1231" t="str">
        <f t="shared" si="11"/>
        <v/>
      </c>
      <c r="AC12" s="1232" t="str">
        <f t="shared" si="12"/>
        <v/>
      </c>
      <c r="AD12" s="1230" t="str">
        <f>IF(M12="","",VLOOKUP(I12,product_list,12,FALSE))</f>
        <v/>
      </c>
      <c r="AE12" s="1231" t="str">
        <f>IFERROR(IF(M12="","",IF(invoice_price_type_id=1,VLOOKUP(I12,product_list,13,FALSE),IF(invoice_price_type_id=2,VLOOKUP(I12,product_list,14,FALSE),IF(invoice_price_type_id=3,VLOOKUP(I12,product_list,15,FALSE),IF(invoice_price_type_id=4,VLOOKUP(I12,product_list,16,FALSE),IF(invoice_price_type_id=5,VLOOKUP(I12,product_list,12,FALSE),"")))))),"")</f>
        <v/>
      </c>
      <c r="AF12" s="1233" t="str">
        <f t="shared" si="13"/>
        <v/>
      </c>
      <c r="AG12" s="1230" t="str">
        <f>IF(I12="","",IF(ISNA(MATCH(I12,IF(invoice_location_id=1,'[1]1_inventory_totals'!$C$8:$C$10000,IF(invoice_location_id=2,'[1]2_inventory_totals'!$C$8:$C$10000,0)),0)),0,IF(AU12&gt;0,1,0)))</f>
        <v/>
      </c>
      <c r="AH12" s="1230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I12" s="1230" t="str">
        <f>IF(M12="","",IF(ISNA(MATCH(I12,'[1]1_group_totals'!$C$8:$C$10000)),0,IF(AV12&gt;0,1,0)))</f>
        <v/>
      </c>
      <c r="AJ12" s="1230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K12" s="1230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L12" s="1230" t="str">
        <f>IF(M12="","",SUMIFS('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M12" s="1230" t="str">
        <f>IF(M12="","",VLOOKUP(I12,product_list,11,FALSE))</f>
        <v/>
      </c>
      <c r="AN12" s="1230" t="str">
        <f>IF(OR(ISNA(MATCH(MID(AM12,1,3)*1,UomConversion!$D$8:$D$500,0)),M12=""),"",IF(AS12="","",AS12))</f>
        <v/>
      </c>
      <c r="AO12" s="1230" t="str">
        <f>IF(AND(AP12&gt;0,COUNTIFS(UomConversion!$D$8:$D$500,MID(AM12,1,3)*1,UomConversion!$J$8:$J$500,1)&gt;1),TEXT(AP12,"000")&amp;"."&amp;VLOOKUP(AP12,uom_list,4,FALSE),"")</f>
        <v/>
      </c>
      <c r="AP12" s="1230" t="str">
        <f t="shared" si="14"/>
        <v/>
      </c>
      <c r="AQ12" s="1230" t="str">
        <f t="shared" si="15"/>
        <v/>
      </c>
      <c r="AR12" s="204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S12" s="126" t="str">
        <f t="shared" si="16"/>
        <v/>
      </c>
      <c r="AT12" s="126" t="str" cm="1">
        <f t="array" ref="AT12">IF(M12="","",IF(ISNA(Slookup(MID(AM12,1,3)*1,UomConversion!$D$8:$J$500,2,UomConversion!$I$8:$I$500,1,UomConversion!$J$8:$J$500,1)),"",Slookup(MID(AM12,1,3)*1,UomConversion!$D$8:$J$500,2,UomConversion!$I$8:$I$500,1,UomConversion!$J$8:$J$500,1)))</f>
        <v/>
      </c>
      <c r="AU12" s="12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V12" s="143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W12" s="204" t="str">
        <f t="shared" si="17"/>
        <v/>
      </c>
      <c r="AX12" s="204" t="str">
        <f>IF(M12="","",SUMIFS($AW$8:AW12,$I$8:I12,I12))</f>
        <v/>
      </c>
      <c r="AY12" s="204" t="str">
        <f t="shared" si="18"/>
        <v/>
      </c>
    </row>
    <row r="13" spans="1:51" ht="27" customHeight="1">
      <c r="A13" s="765"/>
      <c r="B13" s="1358"/>
      <c r="C13" s="941" t="s">
        <v>2400</v>
      </c>
      <c r="D13" s="1202">
        <f>MID(invoice_branch,1,2)*1</f>
        <v>1</v>
      </c>
      <c r="E13" s="1407" t="s">
        <v>2578</v>
      </c>
      <c r="F13" s="1365">
        <f>MID(E13,1,3)*1</f>
        <v>1</v>
      </c>
      <c r="G13" s="213"/>
      <c r="I13" s="426" t="str">
        <f t="shared" si="7"/>
        <v/>
      </c>
      <c r="J13" s="1327" t="str">
        <f t="shared" si="19"/>
        <v/>
      </c>
      <c r="K13" s="1320" t="str">
        <f t="shared" si="0"/>
        <v/>
      </c>
      <c r="L13" s="1321"/>
      <c r="M13" s="1311"/>
      <c r="N13" s="1322"/>
      <c r="O13" s="1322"/>
      <c r="P13" s="1311"/>
      <c r="Q13" s="1401"/>
      <c r="R13" s="1399"/>
      <c r="S13" s="1323" t="str">
        <f t="shared" si="1"/>
        <v/>
      </c>
      <c r="T13" s="1337"/>
      <c r="U13" s="1324" t="str">
        <f t="shared" si="8"/>
        <v/>
      </c>
      <c r="V13" s="1332" t="str">
        <f t="shared" si="2"/>
        <v/>
      </c>
      <c r="W13" s="1333"/>
      <c r="X13" s="1325" t="str">
        <f t="shared" si="3"/>
        <v/>
      </c>
      <c r="Y13" s="1326" t="str">
        <f t="shared" si="9"/>
        <v/>
      </c>
      <c r="Z13" s="1230" t="str" cm="1">
        <f t="array" ref="Z13">IF(M13="","",IF(P13=AM13,1,Slookup(MID(AM13,1,3)*1,UomConversion!$D$8:$J$500,5,UomConversion!$E$8:$E$500,MID(P13,1,3)*1,UomConversion!$J$8:$J$500,1)))</f>
        <v/>
      </c>
      <c r="AA13" s="1230" t="str">
        <f t="shared" si="10"/>
        <v/>
      </c>
      <c r="AB13" s="1231" t="str">
        <f t="shared" si="11"/>
        <v/>
      </c>
      <c r="AC13" s="1232" t="str">
        <f t="shared" si="12"/>
        <v/>
      </c>
      <c r="AD13" s="1230" t="str">
        <f>IF(M13="","",VLOOKUP(I13,product_list,12,FALSE))</f>
        <v/>
      </c>
      <c r="AE13" s="1231" t="str">
        <f>IFERROR(IF(M13="","",IF(invoice_price_type_id=1,VLOOKUP(I13,product_list,13,FALSE),IF(invoice_price_type_id=2,VLOOKUP(I13,product_list,14,FALSE),IF(invoice_price_type_id=3,VLOOKUP(I13,product_list,15,FALSE),IF(invoice_price_type_id=4,VLOOKUP(I13,product_list,16,FALSE),IF(invoice_price_type_id=5,VLOOKUP(I13,product_list,12,FALSE),"")))))),"")</f>
        <v/>
      </c>
      <c r="AF13" s="1233" t="str">
        <f t="shared" si="13"/>
        <v/>
      </c>
      <c r="AG13" s="1230" t="str">
        <f>IF(I13="","",IF(ISNA(MATCH(I13,IF(invoice_location_id=1,'[1]1_inventory_totals'!$C$8:$C$10000,IF(invoice_location_id=2,'[1]2_inventory_totals'!$C$8:$C$10000,0)),0)),0,IF(AU13&gt;0,1,0)))</f>
        <v/>
      </c>
      <c r="AH13" s="1230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I13" s="1230" t="str">
        <f>IF(M13="","",IF(ISNA(MATCH(I13,'[1]1_group_totals'!$C$8:$C$10000)),0,IF(AV13&gt;0,1,0)))</f>
        <v/>
      </c>
      <c r="AJ13" s="1230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K13" s="1230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L13" s="1230" t="str">
        <f>IF(M13="","",SUMIFS('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M13" s="1230" t="str">
        <f>IF(M13="","",VLOOKUP(I13,product_list,11,FALSE))</f>
        <v/>
      </c>
      <c r="AN13" s="1230" t="str">
        <f>IF(OR(ISNA(MATCH(MID(AM13,1,3)*1,UomConversion!$D$8:$D$500,0)),M13=""),"",IF(AS13="","",AS13))</f>
        <v/>
      </c>
      <c r="AO13" s="1230" t="str">
        <f>IF(AND(AP13&gt;0,COUNTIFS(UomConversion!$D$8:$D$500,MID(AM13,1,3)*1,UomConversion!$J$8:$J$500,1)&gt;1),TEXT(AP13,"000")&amp;"."&amp;VLOOKUP(AP13,uom_list,4,FALSE),"")</f>
        <v/>
      </c>
      <c r="AP13" s="1230" t="str">
        <f t="shared" si="14"/>
        <v/>
      </c>
      <c r="AQ13" s="1230" t="str">
        <f t="shared" si="15"/>
        <v/>
      </c>
      <c r="AR13" s="204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S13" s="126" t="str">
        <f t="shared" si="16"/>
        <v/>
      </c>
      <c r="AT13" s="126" t="str" cm="1">
        <f t="array" ref="AT13">IF(M13="","",IF(ISNA(Slookup(MID(AM13,1,3)*1,UomConversion!$D$8:$J$500,2,UomConversion!$I$8:$I$500,1,UomConversion!$J$8:$J$500,1)),"",Slookup(MID(AM13,1,3)*1,UomConversion!$D$8:$J$500,2,UomConversion!$I$8:$I$500,1,UomConversion!$J$8:$J$500,1)))</f>
        <v/>
      </c>
      <c r="AU13" s="12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V13" s="143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W13" s="204" t="str">
        <f t="shared" si="17"/>
        <v/>
      </c>
      <c r="AX13" s="204" t="str">
        <f>IF(M13="","",SUMIFS($AW$8:AW13,$I$8:I13,I13))</f>
        <v/>
      </c>
      <c r="AY13" s="204" t="str">
        <f t="shared" si="18"/>
        <v/>
      </c>
    </row>
    <row r="14" spans="1:51" ht="27" customHeight="1">
      <c r="A14" s="765"/>
      <c r="B14" s="1352"/>
      <c r="C14" s="945" t="s">
        <v>1943</v>
      </c>
      <c r="D14" s="1203"/>
      <c r="E14" s="945" t="s">
        <v>1942</v>
      </c>
      <c r="F14" s="1363"/>
      <c r="I14" s="426" t="str">
        <f t="shared" si="7"/>
        <v/>
      </c>
      <c r="J14" s="1327" t="str">
        <f t="shared" si="19"/>
        <v/>
      </c>
      <c r="K14" s="1320" t="str">
        <f t="shared" si="0"/>
        <v/>
      </c>
      <c r="L14" s="1321"/>
      <c r="M14" s="1311"/>
      <c r="N14" s="1322"/>
      <c r="O14" s="1322"/>
      <c r="P14" s="1311"/>
      <c r="Q14" s="1401"/>
      <c r="R14" s="1399"/>
      <c r="S14" s="1323" t="str">
        <f t="shared" si="1"/>
        <v/>
      </c>
      <c r="T14" s="1337"/>
      <c r="U14" s="1324" t="str">
        <f t="shared" si="8"/>
        <v/>
      </c>
      <c r="V14" s="1332" t="str">
        <f t="shared" si="2"/>
        <v/>
      </c>
      <c r="W14" s="1333"/>
      <c r="X14" s="1325" t="str">
        <f t="shared" si="3"/>
        <v/>
      </c>
      <c r="Y14" s="1326" t="str">
        <f t="shared" si="9"/>
        <v/>
      </c>
      <c r="Z14" s="1230" t="str" cm="1">
        <f t="array" ref="Z14">IF(M14="","",IF(P14=AM14,1,Slookup(MID(AM14,1,3)*1,UomConversion!$D$8:$J$500,5,UomConversion!$E$8:$E$500,MID(P14,1,3)*1,UomConversion!$J$8:$J$500,1)))</f>
        <v/>
      </c>
      <c r="AA14" s="1230" t="str">
        <f t="shared" si="10"/>
        <v/>
      </c>
      <c r="AB14" s="1231" t="str">
        <f t="shared" si="11"/>
        <v/>
      </c>
      <c r="AC14" s="1232" t="str">
        <f t="shared" si="12"/>
        <v/>
      </c>
      <c r="AD14" s="1230" t="str">
        <f>IF(M14="","",VLOOKUP(I14,product_list,12,FALSE))</f>
        <v/>
      </c>
      <c r="AE14" s="1231" t="str">
        <f>IFERROR(IF(M14="","",IF(invoice_price_type_id=1,VLOOKUP(I14,product_list,13,FALSE),IF(invoice_price_type_id=2,VLOOKUP(I14,product_list,14,FALSE),IF(invoice_price_type_id=3,VLOOKUP(I14,product_list,15,FALSE),IF(invoice_price_type_id=4,VLOOKUP(I14,product_list,16,FALSE),IF(invoice_price_type_id=5,VLOOKUP(I14,product_list,12,FALSE),"")))))),"")</f>
        <v/>
      </c>
      <c r="AF14" s="1233" t="str">
        <f t="shared" si="13"/>
        <v/>
      </c>
      <c r="AG14" s="1230" t="str">
        <f>IF(I14="","",IF(ISNA(MATCH(I14,IF(invoice_location_id=1,'[1]1_inventory_totals'!$C$8:$C$10000,IF(invoice_location_id=2,'[1]2_inventory_totals'!$C$8:$C$10000,0)),0)),0,IF(AU14&gt;0,1,0)))</f>
        <v/>
      </c>
      <c r="AH14" s="1230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I14" s="1230" t="str">
        <f>IF(M14="","",IF(ISNA(MATCH(I14,'[1]1_group_totals'!$C$8:$C$10000)),0,IF(AV14&gt;0,1,0)))</f>
        <v/>
      </c>
      <c r="AJ14" s="1230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K14" s="1230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L14" s="1230" t="str">
        <f>IF(M14="","",SUMIFS('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M14" s="1230" t="str">
        <f>IF(M14="","",VLOOKUP(I14,product_list,11,FALSE))</f>
        <v/>
      </c>
      <c r="AN14" s="1230" t="str">
        <f>IF(OR(ISNA(MATCH(MID(AM14,1,3)*1,UomConversion!$D$8:$D$500,0)),M14=""),"",IF(AS14="","",AS14))</f>
        <v/>
      </c>
      <c r="AO14" s="1230" t="str">
        <f>IF(AND(AP14&gt;0,COUNTIFS(UomConversion!$D$8:$D$500,MID(AM14,1,3)*1,UomConversion!$J$8:$J$500,1)&gt;1),TEXT(AP14,"000")&amp;"."&amp;VLOOKUP(AP14,uom_list,4,FALSE),"")</f>
        <v/>
      </c>
      <c r="AP14" s="1230" t="str">
        <f t="shared" si="14"/>
        <v/>
      </c>
      <c r="AQ14" s="1230" t="str">
        <f t="shared" si="15"/>
        <v/>
      </c>
      <c r="AR14" s="204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S14" s="126" t="str">
        <f t="shared" si="16"/>
        <v/>
      </c>
      <c r="AT14" s="126" t="str" cm="1">
        <f t="array" ref="AT14">IF(M14="","",IF(ISNA(Slookup(MID(AM14,1,3)*1,UomConversion!$D$8:$J$500,2,UomConversion!$I$8:$I$500,1,UomConversion!$J$8:$J$500,1)),"",Slookup(MID(AM14,1,3)*1,UomConversion!$D$8:$J$500,2,UomConversion!$I$8:$I$500,1,UomConversion!$J$8:$J$500,1)))</f>
        <v/>
      </c>
      <c r="AU14" s="12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V14" s="143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W14" s="204" t="str">
        <f t="shared" si="17"/>
        <v/>
      </c>
      <c r="AX14" s="204" t="str">
        <f>IF(M14="","",SUMIFS($AW$8:AW14,$I$8:I14,I14))</f>
        <v/>
      </c>
      <c r="AY14" s="204" t="str">
        <f t="shared" si="18"/>
        <v/>
      </c>
    </row>
    <row r="15" spans="1:51" ht="27" customHeight="1">
      <c r="A15" s="765"/>
      <c r="B15" s="1358"/>
      <c r="C15" s="943" t="s">
        <v>2650</v>
      </c>
      <c r="D15" s="1204">
        <f>MID(invoice_seller,1,3)*1</f>
        <v>1</v>
      </c>
      <c r="E15" s="941" t="s">
        <v>2682</v>
      </c>
      <c r="F15" s="1365">
        <f>MID(invoice_location,1,3)*1</f>
        <v>1</v>
      </c>
      <c r="G15" s="213"/>
      <c r="I15" s="426" t="str">
        <f t="shared" si="7"/>
        <v/>
      </c>
      <c r="J15" s="1327" t="str">
        <f t="shared" si="19"/>
        <v/>
      </c>
      <c r="K15" s="1320" t="str">
        <f t="shared" si="0"/>
        <v/>
      </c>
      <c r="L15" s="1321"/>
      <c r="M15" s="1311"/>
      <c r="N15" s="1322"/>
      <c r="O15" s="1322"/>
      <c r="P15" s="1311"/>
      <c r="Q15" s="1401"/>
      <c r="R15" s="1399"/>
      <c r="S15" s="1323" t="str">
        <f t="shared" si="1"/>
        <v/>
      </c>
      <c r="T15" s="1337"/>
      <c r="U15" s="1324" t="str">
        <f t="shared" si="8"/>
        <v/>
      </c>
      <c r="V15" s="1332" t="str">
        <f t="shared" si="2"/>
        <v/>
      </c>
      <c r="W15" s="1333"/>
      <c r="X15" s="1325" t="str">
        <f t="shared" si="3"/>
        <v/>
      </c>
      <c r="Y15" s="1326" t="str">
        <f t="shared" si="9"/>
        <v/>
      </c>
      <c r="Z15" s="1230" t="str" cm="1">
        <f t="array" ref="Z15">IF(M15="","",IF(P15=AM15,1,Slookup(MID(AM15,1,3)*1,UomConversion!$D$8:$J$500,5,UomConversion!$E$8:$E$500,MID(P15,1,3)*1,UomConversion!$J$8:$J$500,1)))</f>
        <v/>
      </c>
      <c r="AA15" s="1230" t="str">
        <f t="shared" si="10"/>
        <v/>
      </c>
      <c r="AB15" s="1231" t="str">
        <f t="shared" si="11"/>
        <v/>
      </c>
      <c r="AC15" s="1232" t="str">
        <f t="shared" si="12"/>
        <v/>
      </c>
      <c r="AD15" s="1230" t="str">
        <f>IF(M15="","",VLOOKUP(I15,product_list,12,FALSE))</f>
        <v/>
      </c>
      <c r="AE15" s="1231" t="str">
        <f>IFERROR(IF(M15="","",IF(invoice_price_type_id=1,VLOOKUP(I15,product_list,13,FALSE),IF(invoice_price_type_id=2,VLOOKUP(I15,product_list,14,FALSE),IF(invoice_price_type_id=3,VLOOKUP(I15,product_list,15,FALSE),IF(invoice_price_type_id=4,VLOOKUP(I15,product_list,16,FALSE),IF(invoice_price_type_id=5,VLOOKUP(I15,product_list,12,FALSE),"")))))),"")</f>
        <v/>
      </c>
      <c r="AF15" s="1233" t="str">
        <f t="shared" si="13"/>
        <v/>
      </c>
      <c r="AG15" s="1230" t="str">
        <f>IF(I15="","",IF(ISNA(MATCH(I15,IF(invoice_location_id=1,'[1]1_inventory_totals'!$C$8:$C$10000,IF(invoice_location_id=2,'[1]2_inventory_totals'!$C$8:$C$10000,0)),0)),0,IF(AU15&gt;0,1,0)))</f>
        <v/>
      </c>
      <c r="AH15" s="1230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I15" s="1230" t="str">
        <f>IF(M15="","",IF(ISNA(MATCH(I15,'[1]1_group_totals'!$C$8:$C$10000)),0,IF(AV15&gt;0,1,0)))</f>
        <v/>
      </c>
      <c r="AJ15" s="1230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K15" s="1230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L15" s="1230" t="str">
        <f>IF(M15="","",SUMIFS('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M15" s="1230" t="str">
        <f>IF(M15="","",VLOOKUP(I15,product_list,11,FALSE))</f>
        <v/>
      </c>
      <c r="AN15" s="1230" t="str">
        <f>IF(OR(ISNA(MATCH(MID(AM15,1,3)*1,UomConversion!$D$8:$D$500,0)),M15=""),"",IF(AS15="","",AS15))</f>
        <v/>
      </c>
      <c r="AO15" s="1230" t="str">
        <f>IF(AND(AP15&gt;0,COUNTIFS(UomConversion!$D$8:$D$500,MID(AM15,1,3)*1,UomConversion!$J$8:$J$500,1)&gt;1),TEXT(AP15,"000")&amp;"."&amp;VLOOKUP(AP15,uom_list,4,FALSE),"")</f>
        <v/>
      </c>
      <c r="AP15" s="1230" t="str">
        <f t="shared" si="14"/>
        <v/>
      </c>
      <c r="AQ15" s="1230" t="str">
        <f t="shared" si="15"/>
        <v/>
      </c>
      <c r="AR15" s="204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S15" s="126" t="str">
        <f t="shared" si="16"/>
        <v/>
      </c>
      <c r="AT15" s="126" t="str" cm="1">
        <f t="array" ref="AT15">IF(M15="","",IF(ISNA(Slookup(MID(AM15,1,3)*1,UomConversion!$D$8:$J$500,2,UomConversion!$I$8:$I$500,1,UomConversion!$J$8:$J$500,1)),"",Slookup(MID(AM15,1,3)*1,UomConversion!$D$8:$J$500,2,UomConversion!$I$8:$I$500,1,UomConversion!$J$8:$J$500,1)))</f>
        <v/>
      </c>
      <c r="AU15" s="12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V15" s="143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W15" s="204" t="str">
        <f t="shared" si="17"/>
        <v/>
      </c>
      <c r="AX15" s="204" t="str">
        <f>IF(M15="","",SUMIFS($AW$8:AW15,$I$8:I15,I15))</f>
        <v/>
      </c>
      <c r="AY15" s="204" t="str">
        <f t="shared" si="18"/>
        <v/>
      </c>
    </row>
    <row r="16" spans="1:51" ht="27" customHeight="1">
      <c r="A16" s="765"/>
      <c r="B16" s="1352"/>
      <c r="C16" s="945" t="s">
        <v>1825</v>
      </c>
      <c r="D16" s="1205"/>
      <c r="E16" s="945" t="s">
        <v>1970</v>
      </c>
      <c r="F16" s="1363"/>
      <c r="I16" s="426" t="str">
        <f t="shared" si="7"/>
        <v/>
      </c>
      <c r="J16" s="1327" t="str">
        <f t="shared" si="19"/>
        <v/>
      </c>
      <c r="K16" s="1320" t="str">
        <f t="shared" si="0"/>
        <v/>
      </c>
      <c r="L16" s="1321"/>
      <c r="M16" s="1311"/>
      <c r="N16" s="1322"/>
      <c r="O16" s="1322"/>
      <c r="P16" s="1311"/>
      <c r="Q16" s="1401"/>
      <c r="R16" s="1399"/>
      <c r="S16" s="1323" t="str">
        <f t="shared" si="1"/>
        <v/>
      </c>
      <c r="T16" s="1337"/>
      <c r="U16" s="1324" t="str">
        <f t="shared" si="8"/>
        <v/>
      </c>
      <c r="V16" s="1332" t="str">
        <f t="shared" si="2"/>
        <v/>
      </c>
      <c r="W16" s="1333"/>
      <c r="X16" s="1325" t="str">
        <f t="shared" si="3"/>
        <v/>
      </c>
      <c r="Y16" s="1326" t="str">
        <f t="shared" si="9"/>
        <v/>
      </c>
      <c r="Z16" s="1230" t="str" cm="1">
        <f t="array" ref="Z16">IF(M16="","",IF(P16=AM16,1,Slookup(MID(AM16,1,3)*1,UomConversion!$D$8:$J$500,5,UomConversion!$E$8:$E$500,MID(P16,1,3)*1,UomConversion!$J$8:$J$500,1)))</f>
        <v/>
      </c>
      <c r="AA16" s="1230" t="str">
        <f t="shared" si="10"/>
        <v/>
      </c>
      <c r="AB16" s="1231" t="str">
        <f t="shared" si="11"/>
        <v/>
      </c>
      <c r="AC16" s="1232" t="str">
        <f t="shared" si="12"/>
        <v/>
      </c>
      <c r="AD16" s="1230" t="str">
        <f>IF(M16="","",VLOOKUP(I16,product_list,12,FALSE))</f>
        <v/>
      </c>
      <c r="AE16" s="1231" t="str">
        <f>IFERROR(IF(M16="","",IF(invoice_price_type_id=1,VLOOKUP(I16,product_list,13,FALSE),IF(invoice_price_type_id=2,VLOOKUP(I16,product_list,14,FALSE),IF(invoice_price_type_id=3,VLOOKUP(I16,product_list,15,FALSE),IF(invoice_price_type_id=4,VLOOKUP(I16,product_list,16,FALSE),IF(invoice_price_type_id=5,VLOOKUP(I16,product_list,12,FALSE),"")))))),"")</f>
        <v/>
      </c>
      <c r="AF16" s="1233" t="str">
        <f t="shared" si="13"/>
        <v/>
      </c>
      <c r="AG16" s="1230" t="str">
        <f>IF(I16="","",IF(ISNA(MATCH(I16,IF(invoice_location_id=1,'[1]1_inventory_totals'!$C$8:$C$10000,IF(invoice_location_id=2,'[1]2_inventory_totals'!$C$8:$C$10000,0)),0)),0,IF(AU16&gt;0,1,0)))</f>
        <v/>
      </c>
      <c r="AH16" s="1230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I16" s="1230" t="str">
        <f>IF(M16="","",IF(ISNA(MATCH(I16,'[1]1_group_totals'!$C$8:$C$10000)),0,IF(AV16&gt;0,1,0)))</f>
        <v/>
      </c>
      <c r="AJ16" s="1230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K16" s="1230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L16" s="1230" t="str">
        <f>IF(M16="","",SUMIFS('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M16" s="1230" t="str">
        <f>IF(M16="","",VLOOKUP(I16,product_list,11,FALSE))</f>
        <v/>
      </c>
      <c r="AN16" s="1230" t="str">
        <f>IF(OR(ISNA(MATCH(MID(AM16,1,3)*1,UomConversion!$D$8:$D$500,0)),M16=""),"",IF(AS16="","",AS16))</f>
        <v/>
      </c>
      <c r="AO16" s="1230" t="str">
        <f>IF(AND(AP16&gt;0,COUNTIFS(UomConversion!$D$8:$D$500,MID(AM16,1,3)*1,UomConversion!$J$8:$J$500,1)&gt;1),TEXT(AP16,"000")&amp;"."&amp;VLOOKUP(AP16,uom_list,4,FALSE),"")</f>
        <v/>
      </c>
      <c r="AP16" s="1230" t="str">
        <f t="shared" si="14"/>
        <v/>
      </c>
      <c r="AQ16" s="1230" t="str">
        <f t="shared" si="15"/>
        <v/>
      </c>
      <c r="AR16" s="204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S16" s="126" t="str">
        <f t="shared" si="16"/>
        <v/>
      </c>
      <c r="AT16" s="126" t="str" cm="1">
        <f t="array" ref="AT16">IF(M16="","",IF(ISNA(Slookup(MID(AM16,1,3)*1,UomConversion!$D$8:$J$500,2,UomConversion!$I$8:$I$500,1,UomConversion!$J$8:$J$500,1)),"",Slookup(MID(AM16,1,3)*1,UomConversion!$D$8:$J$500,2,UomConversion!$I$8:$I$500,1,UomConversion!$J$8:$J$500,1)))</f>
        <v/>
      </c>
      <c r="AU16" s="12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V16" s="143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W16" s="204" t="str">
        <f t="shared" si="17"/>
        <v/>
      </c>
      <c r="AX16" s="204" t="str">
        <f>IF(M16="","",SUMIFS($AW$8:AW16,$I$8:I16,I16))</f>
        <v/>
      </c>
      <c r="AY16" s="204" t="str">
        <f t="shared" si="18"/>
        <v/>
      </c>
    </row>
    <row r="17" spans="1:51" ht="27" customHeight="1">
      <c r="A17" s="765"/>
      <c r="B17" s="1358"/>
      <c r="C17" s="944" t="str">
        <f>IF(invoice_currency_id="","",VLOOKUP(invoice_currency_id,currency_list,2,FALSE))</f>
        <v>USD - US Dollar</v>
      </c>
      <c r="D17" s="1206" t="str">
        <f>IF(invoice_currency_id="","",VLOOKUP(invoice_currency_id,currency_list,3,FALSE))</f>
        <v>$</v>
      </c>
      <c r="E17" s="944" t="s">
        <v>2700</v>
      </c>
      <c r="F17" s="1366">
        <f>MID(E17,1,1)*1</f>
        <v>2</v>
      </c>
      <c r="G17" s="213"/>
      <c r="I17" s="426" t="str">
        <f t="shared" si="7"/>
        <v/>
      </c>
      <c r="J17" s="1327" t="str">
        <f t="shared" si="19"/>
        <v/>
      </c>
      <c r="K17" s="1320" t="str">
        <f t="shared" si="0"/>
        <v/>
      </c>
      <c r="L17" s="1321"/>
      <c r="M17" s="1311"/>
      <c r="N17" s="1322"/>
      <c r="O17" s="1322"/>
      <c r="P17" s="1311"/>
      <c r="Q17" s="1401"/>
      <c r="R17" s="1399"/>
      <c r="S17" s="1323" t="str">
        <f t="shared" si="1"/>
        <v/>
      </c>
      <c r="T17" s="1337"/>
      <c r="U17" s="1324" t="str">
        <f t="shared" si="8"/>
        <v/>
      </c>
      <c r="V17" s="1332" t="str">
        <f t="shared" si="2"/>
        <v/>
      </c>
      <c r="W17" s="1333"/>
      <c r="X17" s="1325" t="str">
        <f t="shared" si="3"/>
        <v/>
      </c>
      <c r="Y17" s="1326" t="str">
        <f t="shared" si="9"/>
        <v/>
      </c>
      <c r="Z17" s="1230" t="str" cm="1">
        <f t="array" ref="Z17">IF(M17="","",IF(P17=AM17,1,Slookup(MID(AM17,1,3)*1,UomConversion!$D$8:$J$500,5,UomConversion!$E$8:$E$500,MID(P17,1,3)*1,UomConversion!$J$8:$J$500,1)))</f>
        <v/>
      </c>
      <c r="AA17" s="1230" t="str">
        <f t="shared" si="10"/>
        <v/>
      </c>
      <c r="AB17" s="1231" t="str">
        <f t="shared" si="11"/>
        <v/>
      </c>
      <c r="AC17" s="1232" t="str">
        <f t="shared" si="12"/>
        <v/>
      </c>
      <c r="AD17" s="1230" t="str">
        <f>IF(M17="","",VLOOKUP(I17,product_list,12,FALSE))</f>
        <v/>
      </c>
      <c r="AE17" s="1231" t="str">
        <f>IFERROR(IF(M17="","",IF(invoice_price_type_id=1,VLOOKUP(I17,product_list,13,FALSE),IF(invoice_price_type_id=2,VLOOKUP(I17,product_list,14,FALSE),IF(invoice_price_type_id=3,VLOOKUP(I17,product_list,15,FALSE),IF(invoice_price_type_id=4,VLOOKUP(I17,product_list,16,FALSE),IF(invoice_price_type_id=5,VLOOKUP(I17,product_list,12,FALSE),"")))))),"")</f>
        <v/>
      </c>
      <c r="AF17" s="1233" t="str">
        <f t="shared" si="13"/>
        <v/>
      </c>
      <c r="AG17" s="1230" t="str">
        <f>IF(I17="","",IF(ISNA(MATCH(I17,IF(invoice_location_id=1,'[1]1_inventory_totals'!$C$8:$C$10000,IF(invoice_location_id=2,'[1]2_inventory_totals'!$C$8:$C$10000,0)),0)),0,IF(AU17&gt;0,1,0)))</f>
        <v/>
      </c>
      <c r="AH17" s="1230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I17" s="1230" t="str">
        <f>IF(M17="","",IF(ISNA(MATCH(I17,'[1]1_group_totals'!$C$8:$C$10000)),0,IF(AV17&gt;0,1,0)))</f>
        <v/>
      </c>
      <c r="AJ17" s="1230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K17" s="1230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L17" s="1230" t="str">
        <f>IF(M17="","",SUMIFS('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M17" s="1230" t="str">
        <f>IF(M17="","",VLOOKUP(I17,product_list,11,FALSE))</f>
        <v/>
      </c>
      <c r="AN17" s="1230" t="str">
        <f>IF(OR(ISNA(MATCH(MID(AM17,1,3)*1,UomConversion!$D$8:$D$500,0)),M17=""),"",IF(AS17="","",AS17))</f>
        <v/>
      </c>
      <c r="AO17" s="1230" t="str">
        <f>IF(AND(AP17&gt;0,COUNTIFS(UomConversion!$D$8:$D$500,MID(AM17,1,3)*1,UomConversion!$J$8:$J$500,1)&gt;1),TEXT(AP17,"000")&amp;"."&amp;VLOOKUP(AP17,uom_list,4,FALSE),"")</f>
        <v/>
      </c>
      <c r="AP17" s="1230" t="str">
        <f t="shared" si="14"/>
        <v/>
      </c>
      <c r="AQ17" s="1230" t="str">
        <f t="shared" si="15"/>
        <v/>
      </c>
      <c r="AR17" s="204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S17" s="126" t="str">
        <f t="shared" si="16"/>
        <v/>
      </c>
      <c r="AT17" s="126" t="str" cm="1">
        <f t="array" ref="AT17">IF(M17="","",IF(ISNA(Slookup(MID(AM17,1,3)*1,UomConversion!$D$8:$J$500,2,UomConversion!$I$8:$I$500,1,UomConversion!$J$8:$J$500,1)),"",Slookup(MID(AM17,1,3)*1,UomConversion!$D$8:$J$500,2,UomConversion!$I$8:$I$500,1,UomConversion!$J$8:$J$500,1)))</f>
        <v/>
      </c>
      <c r="AU17" s="12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V17" s="143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W17" s="204" t="str">
        <f t="shared" si="17"/>
        <v/>
      </c>
      <c r="AX17" s="204" t="str">
        <f>IF(M17="","",SUMIFS($AW$8:AW17,$I$8:I17,I17))</f>
        <v/>
      </c>
      <c r="AY17" s="204" t="str">
        <f t="shared" si="18"/>
        <v/>
      </c>
    </row>
    <row r="18" spans="1:51" ht="27" customHeight="1">
      <c r="A18" s="765"/>
      <c r="B18" s="1358"/>
      <c r="C18" s="1211">
        <f>IF(invoice_branch="","",VLOOKUP(MID(invoice_branch,1,2)*1,branch_list,24,FALSE))</f>
        <v>1</v>
      </c>
      <c r="D18" s="1207"/>
      <c r="E18" s="923"/>
      <c r="F18" s="1367"/>
      <c r="G18" s="213"/>
      <c r="I18" s="426" t="str">
        <f t="shared" si="7"/>
        <v/>
      </c>
      <c r="J18" s="1327" t="str">
        <f t="shared" si="19"/>
        <v/>
      </c>
      <c r="K18" s="1320" t="str">
        <f t="shared" si="0"/>
        <v/>
      </c>
      <c r="L18" s="1321"/>
      <c r="M18" s="1311"/>
      <c r="N18" s="1322"/>
      <c r="O18" s="1322"/>
      <c r="P18" s="1311"/>
      <c r="Q18" s="1401"/>
      <c r="R18" s="1399"/>
      <c r="S18" s="1323" t="str">
        <f t="shared" si="1"/>
        <v/>
      </c>
      <c r="T18" s="1337"/>
      <c r="U18" s="1324" t="str">
        <f t="shared" si="8"/>
        <v/>
      </c>
      <c r="V18" s="1332" t="str">
        <f t="shared" si="2"/>
        <v/>
      </c>
      <c r="W18" s="1333"/>
      <c r="X18" s="1325" t="str">
        <f t="shared" si="3"/>
        <v/>
      </c>
      <c r="Y18" s="1326" t="str">
        <f t="shared" si="9"/>
        <v/>
      </c>
      <c r="Z18" s="1230" t="str" cm="1">
        <f t="array" ref="Z18">IF(M18="","",IF(P18=AM18,1,Slookup(MID(AM18,1,3)*1,UomConversion!$D$8:$J$500,5,UomConversion!$E$8:$E$500,MID(P18,1,3)*1,UomConversion!$J$8:$J$500,1)))</f>
        <v/>
      </c>
      <c r="AA18" s="1230" t="str">
        <f t="shared" si="10"/>
        <v/>
      </c>
      <c r="AB18" s="1231" t="str">
        <f t="shared" si="11"/>
        <v/>
      </c>
      <c r="AC18" s="1232" t="str">
        <f t="shared" si="12"/>
        <v/>
      </c>
      <c r="AD18" s="1230" t="str">
        <f>IF(M18="","",VLOOKUP(I18,product_list,12,FALSE))</f>
        <v/>
      </c>
      <c r="AE18" s="1231" t="str">
        <f>IFERROR(IF(M18="","",IF(invoice_price_type_id=1,VLOOKUP(I18,product_list,13,FALSE),IF(invoice_price_type_id=2,VLOOKUP(I18,product_list,14,FALSE),IF(invoice_price_type_id=3,VLOOKUP(I18,product_list,15,FALSE),IF(invoice_price_type_id=4,VLOOKUP(I18,product_list,16,FALSE),IF(invoice_price_type_id=5,VLOOKUP(I18,product_list,12,FALSE),"")))))),"")</f>
        <v/>
      </c>
      <c r="AF18" s="1233" t="str">
        <f t="shared" si="13"/>
        <v/>
      </c>
      <c r="AG18" s="1230" t="str">
        <f>IF(I18="","",IF(ISNA(MATCH(I18,IF(invoice_location_id=1,'[1]1_inventory_totals'!$C$8:$C$10000,IF(invoice_location_id=2,'[1]2_inventory_totals'!$C$8:$C$10000,0)),0)),0,IF(AU18&gt;0,1,0)))</f>
        <v/>
      </c>
      <c r="AH18" s="1230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I18" s="1230" t="str">
        <f>IF(M18="","",IF(ISNA(MATCH(I18,'[1]1_group_totals'!$C$8:$C$10000)),0,IF(AV18&gt;0,1,0)))</f>
        <v/>
      </c>
      <c r="AJ18" s="1230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K18" s="1230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L18" s="1230" t="str">
        <f>IF(M18="","",SUMIFS('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M18" s="1230" t="str">
        <f>IF(M18="","",VLOOKUP(I18,product_list,11,FALSE))</f>
        <v/>
      </c>
      <c r="AN18" s="1230" t="str">
        <f>IF(OR(ISNA(MATCH(MID(AM18,1,3)*1,UomConversion!$D$8:$D$500,0)),M18=""),"",IF(AS18="","",AS18))</f>
        <v/>
      </c>
      <c r="AO18" s="1230" t="str">
        <f>IF(AND(AP18&gt;0,COUNTIFS(UomConversion!$D$8:$D$500,MID(AM18,1,3)*1,UomConversion!$J$8:$J$500,1)&gt;1),TEXT(AP18,"000")&amp;"."&amp;VLOOKUP(AP18,uom_list,4,FALSE),"")</f>
        <v/>
      </c>
      <c r="AP18" s="1230" t="str">
        <f t="shared" si="14"/>
        <v/>
      </c>
      <c r="AQ18" s="1230" t="str">
        <f t="shared" si="15"/>
        <v/>
      </c>
      <c r="AR18" s="204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S18" s="126" t="str">
        <f t="shared" si="16"/>
        <v/>
      </c>
      <c r="AT18" s="126" t="str" cm="1">
        <f t="array" ref="AT18">IF(M18="","",IF(ISNA(Slookup(MID(AM18,1,3)*1,UomConversion!$D$8:$J$500,2,UomConversion!$I$8:$I$500,1,UomConversion!$J$8:$J$500,1)),"",Slookup(MID(AM18,1,3)*1,UomConversion!$D$8:$J$500,2,UomConversion!$I$8:$I$500,1,UomConversion!$J$8:$J$500,1)))</f>
        <v/>
      </c>
      <c r="AU18" s="12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V18" s="143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W18" s="204" t="str">
        <f t="shared" si="17"/>
        <v/>
      </c>
      <c r="AX18" s="204" t="str">
        <f>IF(M18="","",SUMIFS($AW$8:AW18,$I$8:I18,I18))</f>
        <v/>
      </c>
      <c r="AY18" s="204" t="str">
        <f t="shared" si="18"/>
        <v/>
      </c>
    </row>
    <row r="19" spans="1:51" ht="27" customHeight="1">
      <c r="A19" s="765"/>
      <c r="B19" s="1358"/>
      <c r="C19" s="945" t="s">
        <v>2167</v>
      </c>
      <c r="D19" s="1208">
        <f>VLOOKUP(13, chart_account_default_list, 5, FALSE)</f>
        <v>17</v>
      </c>
      <c r="E19" s="945" t="s">
        <v>2427</v>
      </c>
      <c r="F19" s="1363"/>
      <c r="G19" s="213"/>
      <c r="I19" s="426" t="str">
        <f t="shared" si="7"/>
        <v/>
      </c>
      <c r="J19" s="1327" t="str">
        <f t="shared" si="19"/>
        <v/>
      </c>
      <c r="K19" s="1320" t="str">
        <f t="shared" si="0"/>
        <v/>
      </c>
      <c r="L19" s="1321"/>
      <c r="M19" s="1311"/>
      <c r="N19" s="1322"/>
      <c r="O19" s="1322"/>
      <c r="P19" s="1311"/>
      <c r="Q19" s="1401"/>
      <c r="R19" s="1399"/>
      <c r="S19" s="1323" t="str">
        <f t="shared" si="1"/>
        <v/>
      </c>
      <c r="T19" s="1337"/>
      <c r="U19" s="1324" t="str">
        <f t="shared" si="8"/>
        <v/>
      </c>
      <c r="V19" s="1332" t="str">
        <f t="shared" si="2"/>
        <v/>
      </c>
      <c r="W19" s="1333"/>
      <c r="X19" s="1325" t="str">
        <f t="shared" si="3"/>
        <v/>
      </c>
      <c r="Y19" s="1326" t="str">
        <f t="shared" si="9"/>
        <v/>
      </c>
      <c r="Z19" s="1230" t="str" cm="1">
        <f t="array" ref="Z19">IF(M19="","",IF(P19=AM19,1,Slookup(MID(AM19,1,3)*1,UomConversion!$D$8:$J$500,5,UomConversion!$E$8:$E$500,MID(P19,1,3)*1,UomConversion!$J$8:$J$500,1)))</f>
        <v/>
      </c>
      <c r="AA19" s="1230" t="str">
        <f t="shared" si="10"/>
        <v/>
      </c>
      <c r="AB19" s="1231" t="str">
        <f t="shared" si="11"/>
        <v/>
      </c>
      <c r="AC19" s="1232" t="str">
        <f t="shared" si="12"/>
        <v/>
      </c>
      <c r="AD19" s="1230" t="str">
        <f>IF(M19="","",VLOOKUP(I19,product_list,12,FALSE))</f>
        <v/>
      </c>
      <c r="AE19" s="1231" t="str">
        <f>IFERROR(IF(M19="","",IF(invoice_price_type_id=1,VLOOKUP(I19,product_list,13,FALSE),IF(invoice_price_type_id=2,VLOOKUP(I19,product_list,14,FALSE),IF(invoice_price_type_id=3,VLOOKUP(I19,product_list,15,FALSE),IF(invoice_price_type_id=4,VLOOKUP(I19,product_list,16,FALSE),IF(invoice_price_type_id=5,VLOOKUP(I19,product_list,12,FALSE),"")))))),"")</f>
        <v/>
      </c>
      <c r="AF19" s="1233" t="str">
        <f t="shared" si="13"/>
        <v/>
      </c>
      <c r="AG19" s="1230" t="str">
        <f>IF(I19="","",IF(ISNA(MATCH(I19,IF(invoice_location_id=1,'[1]1_inventory_totals'!$C$8:$C$10000,IF(invoice_location_id=2,'[1]2_inventory_totals'!$C$8:$C$10000,0)),0)),0,IF(AU19&gt;0,1,0)))</f>
        <v/>
      </c>
      <c r="AH19" s="1230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I19" s="1230" t="str">
        <f>IF(M19="","",IF(ISNA(MATCH(I19,'[1]1_group_totals'!$C$8:$C$10000)),0,IF(AV19&gt;0,1,0)))</f>
        <v/>
      </c>
      <c r="AJ19" s="1230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K19" s="1230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L19" s="1230" t="str">
        <f>IF(M19="","",SUMIFS('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M19" s="1230" t="str">
        <f>IF(M19="","",VLOOKUP(I19,product_list,11,FALSE))</f>
        <v/>
      </c>
      <c r="AN19" s="1230" t="str">
        <f>IF(OR(ISNA(MATCH(MID(AM19,1,3)*1,UomConversion!$D$8:$D$500,0)),M19=""),"",IF(AS19="","",AS19))</f>
        <v/>
      </c>
      <c r="AO19" s="1230" t="str">
        <f>IF(AND(AP19&gt;0,COUNTIFS(UomConversion!$D$8:$D$500,MID(AM19,1,3)*1,UomConversion!$J$8:$J$500,1)&gt;1),TEXT(AP19,"000")&amp;"."&amp;VLOOKUP(AP19,uom_list,4,FALSE),"")</f>
        <v/>
      </c>
      <c r="AP19" s="1230" t="str">
        <f t="shared" si="14"/>
        <v/>
      </c>
      <c r="AQ19" s="1230" t="str">
        <f t="shared" si="15"/>
        <v/>
      </c>
      <c r="AR19" s="204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S19" s="126" t="str">
        <f t="shared" si="16"/>
        <v/>
      </c>
      <c r="AT19" s="126" t="str" cm="1">
        <f t="array" ref="AT19">IF(M19="","",IF(ISNA(Slookup(MID(AM19,1,3)*1,UomConversion!$D$8:$J$500,2,UomConversion!$I$8:$I$500,1,UomConversion!$J$8:$J$500,1)),"",Slookup(MID(AM19,1,3)*1,UomConversion!$D$8:$J$500,2,UomConversion!$I$8:$I$500,1,UomConversion!$J$8:$J$500,1)))</f>
        <v/>
      </c>
      <c r="AU19" s="12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V19" s="143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W19" s="204" t="str">
        <f t="shared" si="17"/>
        <v/>
      </c>
      <c r="AX19" s="204" t="str">
        <f>IF(M19="","",SUMIFS($AW$8:AW19,$I$8:I19,I19))</f>
        <v/>
      </c>
      <c r="AY19" s="204" t="str">
        <f t="shared" si="18"/>
        <v/>
      </c>
    </row>
    <row r="20" spans="1:51" ht="27" customHeight="1">
      <c r="A20" s="765"/>
      <c r="B20" s="1352"/>
      <c r="C20" s="944" t="s">
        <v>2172</v>
      </c>
      <c r="D20" s="1208">
        <f>VLOOKUP(MID(C20,1,3)*1,chart_account_default_list,5,FALSE)</f>
        <v>18</v>
      </c>
      <c r="E20" s="944" t="s">
        <v>2452</v>
      </c>
      <c r="F20" s="1366">
        <f>MID(E20,1,2)*1</f>
        <v>2</v>
      </c>
      <c r="I20" s="426" t="str">
        <f t="shared" si="7"/>
        <v/>
      </c>
      <c r="J20" s="1327" t="str">
        <f t="shared" si="19"/>
        <v/>
      </c>
      <c r="K20" s="1320" t="str">
        <f t="shared" si="0"/>
        <v/>
      </c>
      <c r="L20" s="1321"/>
      <c r="M20" s="1311"/>
      <c r="N20" s="1322"/>
      <c r="O20" s="1322"/>
      <c r="P20" s="1311"/>
      <c r="Q20" s="1401"/>
      <c r="R20" s="1399"/>
      <c r="S20" s="1323" t="str">
        <f t="shared" si="1"/>
        <v/>
      </c>
      <c r="T20" s="1337"/>
      <c r="U20" s="1324" t="str">
        <f t="shared" si="8"/>
        <v/>
      </c>
      <c r="V20" s="1332" t="str">
        <f t="shared" si="2"/>
        <v/>
      </c>
      <c r="W20" s="1333"/>
      <c r="X20" s="1325" t="str">
        <f t="shared" si="3"/>
        <v/>
      </c>
      <c r="Y20" s="1326" t="str">
        <f t="shared" si="9"/>
        <v/>
      </c>
      <c r="Z20" s="1230" t="str" cm="1">
        <f t="array" ref="Z20">IF(M20="","",IF(P20=AM20,1,Slookup(MID(AM20,1,3)*1,UomConversion!$D$8:$J$500,5,UomConversion!$E$8:$E$500,MID(P20,1,3)*1,UomConversion!$J$8:$J$500,1)))</f>
        <v/>
      </c>
      <c r="AA20" s="1230" t="str">
        <f t="shared" si="10"/>
        <v/>
      </c>
      <c r="AB20" s="1231" t="str">
        <f t="shared" si="11"/>
        <v/>
      </c>
      <c r="AC20" s="1232" t="str">
        <f t="shared" si="12"/>
        <v/>
      </c>
      <c r="AD20" s="1230" t="str">
        <f>IF(M20="","",VLOOKUP(I20,product_list,12,FALSE))</f>
        <v/>
      </c>
      <c r="AE20" s="1231" t="str">
        <f>IFERROR(IF(M20="","",IF(invoice_price_type_id=1,VLOOKUP(I20,product_list,13,FALSE),IF(invoice_price_type_id=2,VLOOKUP(I20,product_list,14,FALSE),IF(invoice_price_type_id=3,VLOOKUP(I20,product_list,15,FALSE),IF(invoice_price_type_id=4,VLOOKUP(I20,product_list,16,FALSE),IF(invoice_price_type_id=5,VLOOKUP(I20,product_list,12,FALSE),"")))))),"")</f>
        <v/>
      </c>
      <c r="AF20" s="1233" t="str">
        <f t="shared" si="13"/>
        <v/>
      </c>
      <c r="AG20" s="1230" t="str">
        <f>IF(I20="","",IF(ISNA(MATCH(I20,IF(invoice_location_id=1,'[1]1_inventory_totals'!$C$8:$C$10000,IF(invoice_location_id=2,'[1]2_inventory_totals'!$C$8:$C$10000,0)),0)),0,IF(AU20&gt;0,1,0)))</f>
        <v/>
      </c>
      <c r="AH20" s="1230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I20" s="1230" t="str">
        <f>IF(M20="","",IF(ISNA(MATCH(I20,'[1]1_group_totals'!$C$8:$C$10000)),0,IF(AV20&gt;0,1,0)))</f>
        <v/>
      </c>
      <c r="AJ20" s="1230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K20" s="1230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L20" s="1230" t="str">
        <f>IF(M20="","",SUMIFS('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M20" s="1230" t="str">
        <f>IF(M20="","",VLOOKUP(I20,product_list,11,FALSE))</f>
        <v/>
      </c>
      <c r="AN20" s="1230" t="str">
        <f>IF(OR(ISNA(MATCH(MID(AM20,1,3)*1,UomConversion!$D$8:$D$500,0)),M20=""),"",IF(AS20="","",AS20))</f>
        <v/>
      </c>
      <c r="AO20" s="1230" t="str">
        <f>IF(AND(AP20&gt;0,COUNTIFS(UomConversion!$D$8:$D$500,MID(AM20,1,3)*1,UomConversion!$J$8:$J$500,1)&gt;1),TEXT(AP20,"000")&amp;"."&amp;VLOOKUP(AP20,uom_list,4,FALSE),"")</f>
        <v/>
      </c>
      <c r="AP20" s="1230" t="str">
        <f t="shared" si="14"/>
        <v/>
      </c>
      <c r="AQ20" s="1230" t="str">
        <f t="shared" si="15"/>
        <v/>
      </c>
      <c r="AR20" s="204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S20" s="126" t="str">
        <f t="shared" si="16"/>
        <v/>
      </c>
      <c r="AT20" s="126" t="str" cm="1">
        <f t="array" ref="AT20">IF(M20="","",IF(ISNA(Slookup(MID(AM20,1,3)*1,UomConversion!$D$8:$J$500,2,UomConversion!$I$8:$I$500,1,UomConversion!$J$8:$J$500,1)),"",Slookup(MID(AM20,1,3)*1,UomConversion!$D$8:$J$500,2,UomConversion!$I$8:$I$500,1,UomConversion!$J$8:$J$500,1)))</f>
        <v/>
      </c>
      <c r="AU20" s="12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V20" s="143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W20" s="204" t="str">
        <f t="shared" si="17"/>
        <v/>
      </c>
      <c r="AX20" s="204" t="str">
        <f>IF(M20="","",SUMIFS($AW$8:AW20,$I$8:I20,I20))</f>
        <v/>
      </c>
      <c r="AY20" s="204" t="str">
        <f t="shared" si="18"/>
        <v/>
      </c>
    </row>
    <row r="21" spans="1:51" ht="27" customHeight="1">
      <c r="A21" s="765"/>
      <c r="B21" s="1352"/>
      <c r="C21" s="945" t="s">
        <v>399</v>
      </c>
      <c r="D21" s="1209"/>
      <c r="E21" s="984"/>
      <c r="F21" s="1363"/>
      <c r="I21" s="426" t="str">
        <f t="shared" si="7"/>
        <v/>
      </c>
      <c r="J21" s="1327" t="str">
        <f t="shared" si="19"/>
        <v/>
      </c>
      <c r="K21" s="1320" t="str">
        <f t="shared" si="0"/>
        <v/>
      </c>
      <c r="L21" s="1321"/>
      <c r="M21" s="1311"/>
      <c r="N21" s="1322"/>
      <c r="O21" s="1322"/>
      <c r="P21" s="1311"/>
      <c r="Q21" s="1401"/>
      <c r="R21" s="1399"/>
      <c r="S21" s="1323" t="str">
        <f t="shared" si="1"/>
        <v/>
      </c>
      <c r="T21" s="1337"/>
      <c r="U21" s="1324" t="str">
        <f t="shared" si="8"/>
        <v/>
      </c>
      <c r="V21" s="1332" t="str">
        <f t="shared" si="2"/>
        <v/>
      </c>
      <c r="W21" s="1333"/>
      <c r="X21" s="1325" t="str">
        <f t="shared" si="3"/>
        <v/>
      </c>
      <c r="Y21" s="1326" t="str">
        <f t="shared" si="9"/>
        <v/>
      </c>
      <c r="Z21" s="1230" t="str" cm="1">
        <f t="array" ref="Z21">IF(M21="","",IF(P21=AM21,1,Slookup(MID(AM21,1,3)*1,UomConversion!$D$8:$J$500,5,UomConversion!$E$8:$E$500,MID(P21,1,3)*1,UomConversion!$J$8:$J$500,1)))</f>
        <v/>
      </c>
      <c r="AA21" s="1230" t="str">
        <f t="shared" si="10"/>
        <v/>
      </c>
      <c r="AB21" s="1231" t="str">
        <f t="shared" si="11"/>
        <v/>
      </c>
      <c r="AC21" s="1232" t="str">
        <f t="shared" si="12"/>
        <v/>
      </c>
      <c r="AD21" s="1230" t="str">
        <f>IF(M21="","",VLOOKUP(I21,product_list,12,FALSE))</f>
        <v/>
      </c>
      <c r="AE21" s="1231" t="str">
        <f>IFERROR(IF(M21="","",IF(invoice_price_type_id=1,VLOOKUP(I21,product_list,13,FALSE),IF(invoice_price_type_id=2,VLOOKUP(I21,product_list,14,FALSE),IF(invoice_price_type_id=3,VLOOKUP(I21,product_list,15,FALSE),IF(invoice_price_type_id=4,VLOOKUP(I21,product_list,16,FALSE),IF(invoice_price_type_id=5,VLOOKUP(I21,product_list,12,FALSE),"")))))),"")</f>
        <v/>
      </c>
      <c r="AF21" s="1233" t="str">
        <f t="shared" si="13"/>
        <v/>
      </c>
      <c r="AG21" s="1230" t="str">
        <f>IF(I21="","",IF(ISNA(MATCH(I21,IF(invoice_location_id=1,'[1]1_inventory_totals'!$C$8:$C$10000,IF(invoice_location_id=2,'[1]2_inventory_totals'!$C$8:$C$10000,0)),0)),0,IF(AU21&gt;0,1,0)))</f>
        <v/>
      </c>
      <c r="AH21" s="1230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I21" s="1230" t="str">
        <f>IF(M21="","",IF(ISNA(MATCH(I21,'[1]1_group_totals'!$C$8:$C$10000)),0,IF(AV21&gt;0,1,0)))</f>
        <v/>
      </c>
      <c r="AJ21" s="1230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K21" s="1230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L21" s="1230" t="str">
        <f>IF(M21="","",SUMIFS('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M21" s="1230" t="str">
        <f>IF(M21="","",VLOOKUP(I21,product_list,11,FALSE))</f>
        <v/>
      </c>
      <c r="AN21" s="1230" t="str">
        <f>IF(OR(ISNA(MATCH(MID(AM21,1,3)*1,UomConversion!$D$8:$D$500,0)),M21=""),"",IF(AS21="","",AS21))</f>
        <v/>
      </c>
      <c r="AO21" s="1230" t="str">
        <f>IF(AND(AP21&gt;0,COUNTIFS(UomConversion!$D$8:$D$500,MID(AM21,1,3)*1,UomConversion!$J$8:$J$500,1)&gt;1),TEXT(AP21,"000")&amp;"."&amp;VLOOKUP(AP21,uom_list,4,FALSE),"")</f>
        <v/>
      </c>
      <c r="AP21" s="1230" t="str">
        <f t="shared" si="14"/>
        <v/>
      </c>
      <c r="AQ21" s="1230" t="str">
        <f t="shared" si="15"/>
        <v/>
      </c>
      <c r="AR21" s="204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S21" s="126" t="str">
        <f t="shared" si="16"/>
        <v/>
      </c>
      <c r="AT21" s="126" t="str" cm="1">
        <f t="array" ref="AT21">IF(M21="","",IF(ISNA(Slookup(MID(AM21,1,3)*1,UomConversion!$D$8:$J$500,2,UomConversion!$I$8:$I$500,1,UomConversion!$J$8:$J$500,1)),"",Slookup(MID(AM21,1,3)*1,UomConversion!$D$8:$J$500,2,UomConversion!$I$8:$I$500,1,UomConversion!$J$8:$J$500,1)))</f>
        <v/>
      </c>
      <c r="AU21" s="12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V21" s="143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W21" s="204" t="str">
        <f t="shared" si="17"/>
        <v/>
      </c>
      <c r="AX21" s="204" t="str">
        <f>IF(M21="","",SUMIFS($AW$8:AW21,$I$8:I21,I21))</f>
        <v/>
      </c>
      <c r="AY21" s="204" t="str">
        <f t="shared" si="18"/>
        <v/>
      </c>
    </row>
    <row r="22" spans="1:51" ht="27" customHeight="1">
      <c r="A22" s="765"/>
      <c r="B22" s="1352"/>
      <c r="C22" s="1581" t="s">
        <v>246</v>
      </c>
      <c r="D22" s="1582"/>
      <c r="E22" s="1583"/>
      <c r="F22" s="1363"/>
      <c r="I22" s="426" t="str">
        <f t="shared" si="7"/>
        <v/>
      </c>
      <c r="J22" s="1327" t="str">
        <f t="shared" si="19"/>
        <v/>
      </c>
      <c r="K22" s="1320" t="str">
        <f t="shared" si="0"/>
        <v/>
      </c>
      <c r="L22" s="1321"/>
      <c r="M22" s="1311"/>
      <c r="N22" s="1322"/>
      <c r="O22" s="1322"/>
      <c r="P22" s="1311"/>
      <c r="Q22" s="1401"/>
      <c r="R22" s="1399"/>
      <c r="S22" s="1323" t="str">
        <f t="shared" si="1"/>
        <v/>
      </c>
      <c r="T22" s="1337"/>
      <c r="U22" s="1324" t="str">
        <f t="shared" si="8"/>
        <v/>
      </c>
      <c r="V22" s="1332" t="str">
        <f t="shared" si="2"/>
        <v/>
      </c>
      <c r="W22" s="1333"/>
      <c r="X22" s="1325" t="str">
        <f t="shared" si="3"/>
        <v/>
      </c>
      <c r="Y22" s="1326" t="str">
        <f t="shared" si="9"/>
        <v/>
      </c>
      <c r="Z22" s="1230" t="str" cm="1">
        <f t="array" ref="Z22">IF(M22="","",IF(P22=AM22,1,Slookup(MID(AM22,1,3)*1,UomConversion!$D$8:$J$500,5,UomConversion!$E$8:$E$500,MID(P22,1,3)*1,UomConversion!$J$8:$J$500,1)))</f>
        <v/>
      </c>
      <c r="AA22" s="1230" t="str">
        <f t="shared" si="10"/>
        <v/>
      </c>
      <c r="AB22" s="1231" t="str">
        <f t="shared" si="11"/>
        <v/>
      </c>
      <c r="AC22" s="1232" t="str">
        <f t="shared" si="12"/>
        <v/>
      </c>
      <c r="AD22" s="1230" t="str">
        <f>IF(M22="","",VLOOKUP(I22,product_list,12,FALSE))</f>
        <v/>
      </c>
      <c r="AE22" s="1231" t="str">
        <f>IFERROR(IF(M22="","",IF(invoice_price_type_id=1,VLOOKUP(I22,product_list,13,FALSE),IF(invoice_price_type_id=2,VLOOKUP(I22,product_list,14,FALSE),IF(invoice_price_type_id=3,VLOOKUP(I22,product_list,15,FALSE),IF(invoice_price_type_id=4,VLOOKUP(I22,product_list,16,FALSE),IF(invoice_price_type_id=5,VLOOKUP(I22,product_list,12,FALSE),"")))))),"")</f>
        <v/>
      </c>
      <c r="AF22" s="1233" t="str">
        <f t="shared" si="13"/>
        <v/>
      </c>
      <c r="AG22" s="1230" t="str">
        <f>IF(I22="","",IF(ISNA(MATCH(I22,IF(invoice_location_id=1,'[1]1_inventory_totals'!$C$8:$C$10000,IF(invoice_location_id=2,'[1]2_inventory_totals'!$C$8:$C$10000,0)),0)),0,IF(AU22&gt;0,1,0)))</f>
        <v/>
      </c>
      <c r="AH22" s="1230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I22" s="1230" t="str">
        <f>IF(M22="","",IF(ISNA(MATCH(I22,'[1]1_group_totals'!$C$8:$C$10000)),0,IF(AV22&gt;0,1,0)))</f>
        <v/>
      </c>
      <c r="AJ22" s="1230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K22" s="1230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L22" s="1230" t="str">
        <f>IF(M22="","",SUMIFS('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M22" s="1230" t="str">
        <f>IF(M22="","",VLOOKUP(I22,product_list,11,FALSE))</f>
        <v/>
      </c>
      <c r="AN22" s="1230" t="str">
        <f>IF(OR(ISNA(MATCH(MID(AM22,1,3)*1,UomConversion!$D$8:$D$500,0)),M22=""),"",IF(AS22="","",AS22))</f>
        <v/>
      </c>
      <c r="AO22" s="1230" t="str">
        <f>IF(AND(AP22&gt;0,COUNTIFS(UomConversion!$D$8:$D$500,MID(AM22,1,3)*1,UomConversion!$J$8:$J$500,1)&gt;1),TEXT(AP22,"000")&amp;"."&amp;VLOOKUP(AP22,uom_list,4,FALSE),"")</f>
        <v/>
      </c>
      <c r="AP22" s="1230" t="str">
        <f t="shared" si="14"/>
        <v/>
      </c>
      <c r="AQ22" s="1230" t="str">
        <f t="shared" si="15"/>
        <v/>
      </c>
      <c r="AR22" s="204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S22" s="126" t="str">
        <f t="shared" si="16"/>
        <v/>
      </c>
      <c r="AT22" s="126" t="str" cm="1">
        <f t="array" ref="AT22">IF(M22="","",IF(ISNA(Slookup(MID(AM22,1,3)*1,UomConversion!$D$8:$J$500,2,UomConversion!$I$8:$I$500,1,UomConversion!$J$8:$J$500,1)),"",Slookup(MID(AM22,1,3)*1,UomConversion!$D$8:$J$500,2,UomConversion!$I$8:$I$500,1,UomConversion!$J$8:$J$500,1)))</f>
        <v/>
      </c>
      <c r="AU22" s="12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V22" s="143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W22" s="204" t="str">
        <f t="shared" si="17"/>
        <v/>
      </c>
      <c r="AX22" s="204" t="str">
        <f>IF(M22="","",SUMIFS($AW$8:AW22,$I$8:I22,I22))</f>
        <v/>
      </c>
      <c r="AY22" s="204" t="str">
        <f t="shared" si="18"/>
        <v/>
      </c>
    </row>
    <row r="23" spans="1:51" ht="27" customHeight="1">
      <c r="A23" s="765"/>
      <c r="B23" s="1352"/>
      <c r="C23" s="1584"/>
      <c r="D23" s="1585"/>
      <c r="E23" s="1586"/>
      <c r="F23" s="1363"/>
      <c r="I23" s="426" t="str">
        <f t="shared" si="7"/>
        <v/>
      </c>
      <c r="J23" s="1327" t="str">
        <f t="shared" si="19"/>
        <v/>
      </c>
      <c r="K23" s="1320" t="str">
        <f t="shared" si="0"/>
        <v/>
      </c>
      <c r="L23" s="1321"/>
      <c r="M23" s="1311"/>
      <c r="N23" s="1322"/>
      <c r="O23" s="1322"/>
      <c r="P23" s="1311"/>
      <c r="Q23" s="1401"/>
      <c r="R23" s="1399"/>
      <c r="S23" s="1323" t="str">
        <f t="shared" si="1"/>
        <v/>
      </c>
      <c r="T23" s="1337"/>
      <c r="U23" s="1324" t="str">
        <f t="shared" si="8"/>
        <v/>
      </c>
      <c r="V23" s="1332" t="str">
        <f t="shared" si="2"/>
        <v/>
      </c>
      <c r="W23" s="1333"/>
      <c r="X23" s="1325" t="str">
        <f t="shared" si="3"/>
        <v/>
      </c>
      <c r="Y23" s="1326" t="str">
        <f t="shared" si="9"/>
        <v/>
      </c>
      <c r="Z23" s="1230" t="str" cm="1">
        <f t="array" ref="Z23">IF(M23="","",IF(P23=AM23,1,Slookup(MID(AM23,1,3)*1,UomConversion!$D$8:$J$500,5,UomConversion!$E$8:$E$500,MID(P23,1,3)*1,UomConversion!$J$8:$J$500,1)))</f>
        <v/>
      </c>
      <c r="AA23" s="1230" t="str">
        <f t="shared" si="10"/>
        <v/>
      </c>
      <c r="AB23" s="1231" t="str">
        <f t="shared" si="11"/>
        <v/>
      </c>
      <c r="AC23" s="1232" t="str">
        <f t="shared" si="12"/>
        <v/>
      </c>
      <c r="AD23" s="1230" t="str">
        <f>IF(M23="","",VLOOKUP(I23,product_list,12,FALSE))</f>
        <v/>
      </c>
      <c r="AE23" s="1231" t="str">
        <f>IFERROR(IF(M23="","",IF(invoice_price_type_id=1,VLOOKUP(I23,product_list,13,FALSE),IF(invoice_price_type_id=2,VLOOKUP(I23,product_list,14,FALSE),IF(invoice_price_type_id=3,VLOOKUP(I23,product_list,15,FALSE),IF(invoice_price_type_id=4,VLOOKUP(I23,product_list,16,FALSE),IF(invoice_price_type_id=5,VLOOKUP(I23,product_list,12,FALSE),"")))))),"")</f>
        <v/>
      </c>
      <c r="AF23" s="1233" t="str">
        <f t="shared" si="13"/>
        <v/>
      </c>
      <c r="AG23" s="1230" t="str">
        <f>IF(I23="","",IF(ISNA(MATCH(I23,IF(invoice_location_id=1,'[1]1_inventory_totals'!$C$8:$C$10000,IF(invoice_location_id=2,'[1]2_inventory_totals'!$C$8:$C$10000,0)),0)),0,IF(AU23&gt;0,1,0)))</f>
        <v/>
      </c>
      <c r="AH23" s="1230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I23" s="1230" t="str">
        <f>IF(M23="","",IF(ISNA(MATCH(I23,'[1]1_group_totals'!$C$8:$C$10000)),0,IF(AV23&gt;0,1,0)))</f>
        <v/>
      </c>
      <c r="AJ23" s="1230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K23" s="1230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L23" s="1230" t="str">
        <f>IF(M23="","",SUMIFS('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M23" s="1230" t="str">
        <f>IF(M23="","",VLOOKUP(I23,product_list,11,FALSE))</f>
        <v/>
      </c>
      <c r="AN23" s="1230" t="str">
        <f>IF(OR(ISNA(MATCH(MID(AM23,1,3)*1,UomConversion!$D$8:$D$500,0)),M23=""),"",IF(AS23="","",AS23))</f>
        <v/>
      </c>
      <c r="AO23" s="1230" t="str">
        <f>IF(AND(AP23&gt;0,COUNTIFS(UomConversion!$D$8:$D$500,MID(AM23,1,3)*1,UomConversion!$J$8:$J$500,1)&gt;1),TEXT(AP23,"000")&amp;"."&amp;VLOOKUP(AP23,uom_list,4,FALSE),"")</f>
        <v/>
      </c>
      <c r="AP23" s="1230" t="str">
        <f t="shared" si="14"/>
        <v/>
      </c>
      <c r="AQ23" s="1230" t="str">
        <f t="shared" si="15"/>
        <v/>
      </c>
      <c r="AR23" s="204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S23" s="126" t="str">
        <f t="shared" si="16"/>
        <v/>
      </c>
      <c r="AT23" s="126" t="str" cm="1">
        <f t="array" ref="AT23">IF(M23="","",IF(ISNA(Slookup(MID(AM23,1,3)*1,UomConversion!$D$8:$J$500,2,UomConversion!$I$8:$I$500,1,UomConversion!$J$8:$J$500,1)),"",Slookup(MID(AM23,1,3)*1,UomConversion!$D$8:$J$500,2,UomConversion!$I$8:$I$500,1,UomConversion!$J$8:$J$500,1)))</f>
        <v/>
      </c>
      <c r="AU23" s="12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V23" s="143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W23" s="204" t="str">
        <f t="shared" si="17"/>
        <v/>
      </c>
      <c r="AX23" s="204" t="str">
        <f>IF(M23="","",SUMIFS($AW$8:AW23,$I$8:I23,I23))</f>
        <v/>
      </c>
      <c r="AY23" s="204" t="str">
        <f t="shared" si="18"/>
        <v/>
      </c>
    </row>
    <row r="24" spans="1:51" ht="27" customHeight="1">
      <c r="A24" s="765"/>
      <c r="B24" s="1352"/>
      <c r="C24" s="1587"/>
      <c r="D24" s="1588"/>
      <c r="E24" s="1589"/>
      <c r="F24" s="1363"/>
      <c r="I24" s="426" t="str">
        <f t="shared" si="7"/>
        <v/>
      </c>
      <c r="J24" s="1327" t="str">
        <f t="shared" si="19"/>
        <v/>
      </c>
      <c r="K24" s="1320" t="str">
        <f t="shared" si="0"/>
        <v/>
      </c>
      <c r="L24" s="1321"/>
      <c r="M24" s="1311"/>
      <c r="N24" s="1322"/>
      <c r="O24" s="1322"/>
      <c r="P24" s="1311"/>
      <c r="Q24" s="1401"/>
      <c r="R24" s="1399"/>
      <c r="S24" s="1323" t="str">
        <f t="shared" si="1"/>
        <v/>
      </c>
      <c r="T24" s="1337"/>
      <c r="U24" s="1324" t="str">
        <f t="shared" si="8"/>
        <v/>
      </c>
      <c r="V24" s="1332" t="str">
        <f t="shared" si="2"/>
        <v/>
      </c>
      <c r="W24" s="1333"/>
      <c r="X24" s="1325" t="str">
        <f t="shared" si="3"/>
        <v/>
      </c>
      <c r="Y24" s="1326" t="str">
        <f t="shared" si="9"/>
        <v/>
      </c>
      <c r="Z24" s="1230" t="str" cm="1">
        <f t="array" ref="Z24">IF(M24="","",IF(P24=AM24,1,Slookup(MID(AM24,1,3)*1,UomConversion!$D$8:$J$500,5,UomConversion!$E$8:$E$500,MID(P24,1,3)*1,UomConversion!$J$8:$J$500,1)))</f>
        <v/>
      </c>
      <c r="AA24" s="1230" t="str">
        <f t="shared" si="10"/>
        <v/>
      </c>
      <c r="AB24" s="1231" t="str">
        <f t="shared" si="11"/>
        <v/>
      </c>
      <c r="AC24" s="1232" t="str">
        <f t="shared" si="12"/>
        <v/>
      </c>
      <c r="AD24" s="1230" t="str">
        <f>IF(M24="","",VLOOKUP(I24,product_list,12,FALSE))</f>
        <v/>
      </c>
      <c r="AE24" s="1231" t="str">
        <f>IFERROR(IF(M24="","",IF(invoice_price_type_id=1,VLOOKUP(I24,product_list,13,FALSE),IF(invoice_price_type_id=2,VLOOKUP(I24,product_list,14,FALSE),IF(invoice_price_type_id=3,VLOOKUP(I24,product_list,15,FALSE),IF(invoice_price_type_id=4,VLOOKUP(I24,product_list,16,FALSE),IF(invoice_price_type_id=5,VLOOKUP(I24,product_list,12,FALSE),"")))))),"")</f>
        <v/>
      </c>
      <c r="AF24" s="1233" t="str">
        <f t="shared" si="13"/>
        <v/>
      </c>
      <c r="AG24" s="1230" t="str">
        <f>IF(I24="","",IF(ISNA(MATCH(I24,IF(invoice_location_id=1,'[1]1_inventory_totals'!$C$8:$C$10000,IF(invoice_location_id=2,'[1]2_inventory_totals'!$C$8:$C$10000,0)),0)),0,IF(AU24&gt;0,1,0)))</f>
        <v/>
      </c>
      <c r="AH24" s="1230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I24" s="1230" t="str">
        <f>IF(M24="","",IF(ISNA(MATCH(I24,'[1]1_group_totals'!$C$8:$C$10000)),0,IF(AV24&gt;0,1,0)))</f>
        <v/>
      </c>
      <c r="AJ24" s="1230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K24" s="1230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L24" s="1230" t="str">
        <f>IF(M24="","",SUMIFS('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M24" s="1230" t="str">
        <f>IF(M24="","",VLOOKUP(I24,product_list,11,FALSE))</f>
        <v/>
      </c>
      <c r="AN24" s="1230" t="str">
        <f>IF(OR(ISNA(MATCH(MID(AM24,1,3)*1,UomConversion!$D$8:$D$500,0)),M24=""),"",IF(AS24="","",AS24))</f>
        <v/>
      </c>
      <c r="AO24" s="1230" t="str">
        <f>IF(AND(AP24&gt;0,COUNTIFS(UomConversion!$D$8:$D$500,MID(AM24,1,3)*1,UomConversion!$J$8:$J$500,1)&gt;1),TEXT(AP24,"000")&amp;"."&amp;VLOOKUP(AP24,uom_list,4,FALSE),"")</f>
        <v/>
      </c>
      <c r="AP24" s="1230" t="str">
        <f t="shared" si="14"/>
        <v/>
      </c>
      <c r="AQ24" s="1230" t="str">
        <f t="shared" si="15"/>
        <v/>
      </c>
      <c r="AR24" s="204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S24" s="126" t="str">
        <f t="shared" si="16"/>
        <v/>
      </c>
      <c r="AT24" s="126" t="str" cm="1">
        <f t="array" ref="AT24">IF(M24="","",IF(ISNA(Slookup(MID(AM24,1,3)*1,UomConversion!$D$8:$J$500,2,UomConversion!$I$8:$I$500,1,UomConversion!$J$8:$J$500,1)),"",Slookup(MID(AM24,1,3)*1,UomConversion!$D$8:$J$500,2,UomConversion!$I$8:$I$500,1,UomConversion!$J$8:$J$500,1)))</f>
        <v/>
      </c>
      <c r="AU24" s="12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V24" s="143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W24" s="204" t="str">
        <f t="shared" si="17"/>
        <v/>
      </c>
      <c r="AX24" s="204" t="str">
        <f>IF(M24="","",SUMIFS($AW$8:AW24,$I$8:I24,I24))</f>
        <v/>
      </c>
      <c r="AY24" s="204" t="str">
        <f t="shared" si="18"/>
        <v/>
      </c>
    </row>
    <row r="25" spans="1:51" ht="27" customHeight="1">
      <c r="A25" s="765"/>
      <c r="B25" s="1352"/>
      <c r="C25" s="984"/>
      <c r="D25" s="984"/>
      <c r="E25" s="984"/>
      <c r="F25" s="1368"/>
      <c r="I25" s="426" t="str">
        <f t="shared" si="7"/>
        <v/>
      </c>
      <c r="J25" s="1327" t="str">
        <f t="shared" si="19"/>
        <v/>
      </c>
      <c r="K25" s="1320" t="str">
        <f t="shared" si="0"/>
        <v/>
      </c>
      <c r="L25" s="1321"/>
      <c r="M25" s="1311"/>
      <c r="N25" s="1322"/>
      <c r="O25" s="1322"/>
      <c r="P25" s="1311"/>
      <c r="Q25" s="1401"/>
      <c r="R25" s="1399"/>
      <c r="S25" s="1323" t="str">
        <f t="shared" si="1"/>
        <v/>
      </c>
      <c r="T25" s="1337"/>
      <c r="U25" s="1324" t="str">
        <f t="shared" si="8"/>
        <v/>
      </c>
      <c r="V25" s="1332" t="str">
        <f t="shared" si="2"/>
        <v/>
      </c>
      <c r="W25" s="1333"/>
      <c r="X25" s="1325" t="str">
        <f t="shared" si="3"/>
        <v/>
      </c>
      <c r="Y25" s="1326" t="str">
        <f t="shared" si="9"/>
        <v/>
      </c>
      <c r="Z25" s="1230" t="str" cm="1">
        <f t="array" ref="Z25">IF(M25="","",IF(P25=AM25,1,Slookup(MID(AM25,1,3)*1,UomConversion!$D$8:$J$500,5,UomConversion!$E$8:$E$500,MID(P25,1,3)*1,UomConversion!$J$8:$J$500,1)))</f>
        <v/>
      </c>
      <c r="AA25" s="1230" t="str">
        <f t="shared" si="10"/>
        <v/>
      </c>
      <c r="AB25" s="1231" t="str">
        <f t="shared" si="11"/>
        <v/>
      </c>
      <c r="AC25" s="1232" t="str">
        <f t="shared" si="12"/>
        <v/>
      </c>
      <c r="AD25" s="1230" t="str">
        <f>IF(M25="","",VLOOKUP(I25,product_list,12,FALSE))</f>
        <v/>
      </c>
      <c r="AE25" s="1231" t="str">
        <f>IFERROR(IF(M25="","",IF(invoice_price_type_id=1,VLOOKUP(I25,product_list,13,FALSE),IF(invoice_price_type_id=2,VLOOKUP(I25,product_list,14,FALSE),IF(invoice_price_type_id=3,VLOOKUP(I25,product_list,15,FALSE),IF(invoice_price_type_id=4,VLOOKUP(I25,product_list,16,FALSE),IF(invoice_price_type_id=5,VLOOKUP(I25,product_list,12,FALSE),"")))))),"")</f>
        <v/>
      </c>
      <c r="AF25" s="1233" t="str">
        <f t="shared" si="13"/>
        <v/>
      </c>
      <c r="AG25" s="1230" t="str">
        <f>IF(I25="","",IF(ISNA(MATCH(I25,IF(invoice_location_id=1,'[1]1_inventory_totals'!$C$8:$C$10000,IF(invoice_location_id=2,'[1]2_inventory_totals'!$C$8:$C$10000,0)),0)),0,IF(AU25&gt;0,1,0)))</f>
        <v/>
      </c>
      <c r="AH25" s="1230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I25" s="1230" t="str">
        <f>IF(M25="","",IF(ISNA(MATCH(I25,'[1]1_group_totals'!$C$8:$C$10000)),0,IF(AV25&gt;0,1,0)))</f>
        <v/>
      </c>
      <c r="AJ25" s="1230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K25" s="1230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L25" s="1230" t="str">
        <f>IF(M25="","",SUMIFS('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M25" s="1230" t="str">
        <f>IF(M25="","",VLOOKUP(I25,product_list,11,FALSE))</f>
        <v/>
      </c>
      <c r="AN25" s="1230" t="str">
        <f>IF(OR(ISNA(MATCH(MID(AM25,1,3)*1,UomConversion!$D$8:$D$500,0)),M25=""),"",IF(AS25="","",AS25))</f>
        <v/>
      </c>
      <c r="AO25" s="1230" t="str">
        <f>IF(AND(AP25&gt;0,COUNTIFS(UomConversion!$D$8:$D$500,MID(AM25,1,3)*1,UomConversion!$J$8:$J$500,1)&gt;1),TEXT(AP25,"000")&amp;"."&amp;VLOOKUP(AP25,uom_list,4,FALSE),"")</f>
        <v/>
      </c>
      <c r="AP25" s="1230" t="str">
        <f t="shared" si="14"/>
        <v/>
      </c>
      <c r="AQ25" s="1230" t="str">
        <f t="shared" si="15"/>
        <v/>
      </c>
      <c r="AR25" s="204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S25" s="126" t="str">
        <f t="shared" si="16"/>
        <v/>
      </c>
      <c r="AT25" s="126" t="str" cm="1">
        <f t="array" ref="AT25">IF(M25="","",IF(ISNA(Slookup(MID(AM25,1,3)*1,UomConversion!$D$8:$J$500,2,UomConversion!$I$8:$I$500,1,UomConversion!$J$8:$J$500,1)),"",Slookup(MID(AM25,1,3)*1,UomConversion!$D$8:$J$500,2,UomConversion!$I$8:$I$500,1,UomConversion!$J$8:$J$500,1)))</f>
        <v/>
      </c>
      <c r="AU25" s="12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V25" s="143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W25" s="204" t="str">
        <f t="shared" si="17"/>
        <v/>
      </c>
      <c r="AX25" s="204" t="str">
        <f>IF(M25="","",SUMIFS($AW$8:AW25,$I$8:I25,I25))</f>
        <v/>
      </c>
      <c r="AY25" s="204" t="str">
        <f t="shared" si="18"/>
        <v/>
      </c>
    </row>
    <row r="26" spans="1:51" ht="27" customHeight="1">
      <c r="A26" s="765"/>
      <c r="B26" s="1352"/>
      <c r="C26" s="984"/>
      <c r="D26" s="984"/>
      <c r="E26" s="984"/>
      <c r="F26" s="1368"/>
      <c r="I26" s="426" t="str">
        <f t="shared" si="7"/>
        <v/>
      </c>
      <c r="J26" s="1327" t="str">
        <f t="shared" si="19"/>
        <v/>
      </c>
      <c r="K26" s="1320" t="str">
        <f t="shared" si="0"/>
        <v/>
      </c>
      <c r="L26" s="1321"/>
      <c r="M26" s="1311"/>
      <c r="N26" s="1322"/>
      <c r="O26" s="1322"/>
      <c r="P26" s="1311"/>
      <c r="Q26" s="1401"/>
      <c r="R26" s="1399"/>
      <c r="S26" s="1323" t="str">
        <f t="shared" si="1"/>
        <v/>
      </c>
      <c r="T26" s="1337"/>
      <c r="U26" s="1324" t="str">
        <f t="shared" si="8"/>
        <v/>
      </c>
      <c r="V26" s="1332" t="str">
        <f t="shared" si="2"/>
        <v/>
      </c>
      <c r="W26" s="1333"/>
      <c r="X26" s="1325" t="str">
        <f t="shared" si="3"/>
        <v/>
      </c>
      <c r="Y26" s="1326" t="str">
        <f t="shared" si="9"/>
        <v/>
      </c>
      <c r="Z26" s="1230" t="str" cm="1">
        <f t="array" ref="Z26">IF(M26="","",IF(P26=AM26,1,Slookup(MID(AM26,1,3)*1,UomConversion!$D$8:$J$500,5,UomConversion!$E$8:$E$500,MID(P26,1,3)*1,UomConversion!$J$8:$J$500,1)))</f>
        <v/>
      </c>
      <c r="AA26" s="1230" t="str">
        <f t="shared" si="10"/>
        <v/>
      </c>
      <c r="AB26" s="1231" t="str">
        <f t="shared" si="11"/>
        <v/>
      </c>
      <c r="AC26" s="1232" t="str">
        <f t="shared" si="12"/>
        <v/>
      </c>
      <c r="AD26" s="1230" t="str">
        <f>IF(M26="","",VLOOKUP(I26,product_list,12,FALSE))</f>
        <v/>
      </c>
      <c r="AE26" s="1231" t="str">
        <f>IFERROR(IF(M26="","",IF(invoice_price_type_id=1,VLOOKUP(I26,product_list,13,FALSE),IF(invoice_price_type_id=2,VLOOKUP(I26,product_list,14,FALSE),IF(invoice_price_type_id=3,VLOOKUP(I26,product_list,15,FALSE),IF(invoice_price_type_id=4,VLOOKUP(I26,product_list,16,FALSE),IF(invoice_price_type_id=5,VLOOKUP(I26,product_list,12,FALSE),"")))))),"")</f>
        <v/>
      </c>
      <c r="AF26" s="1233" t="str">
        <f t="shared" si="13"/>
        <v/>
      </c>
      <c r="AG26" s="1230" t="str">
        <f>IF(I26="","",IF(ISNA(MATCH(I26,IF(invoice_location_id=1,'[1]1_inventory_totals'!$C$8:$C$10000,IF(invoice_location_id=2,'[1]2_inventory_totals'!$C$8:$C$10000,0)),0)),0,IF(AU26&gt;0,1,0)))</f>
        <v/>
      </c>
      <c r="AH26" s="1230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I26" s="1230" t="str">
        <f>IF(M26="","",IF(ISNA(MATCH(I26,'[1]1_group_totals'!$C$8:$C$10000)),0,IF(AV26&gt;0,1,0)))</f>
        <v/>
      </c>
      <c r="AJ26" s="1230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K26" s="1230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L26" s="1230" t="str">
        <f>IF(M26="","",SUMIFS('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M26" s="1230" t="str">
        <f>IF(M26="","",VLOOKUP(I26,product_list,11,FALSE))</f>
        <v/>
      </c>
      <c r="AN26" s="1230" t="str">
        <f>IF(OR(ISNA(MATCH(MID(AM26,1,3)*1,UomConversion!$D$8:$D$500,0)),M26=""),"",IF(AS26="","",AS26))</f>
        <v/>
      </c>
      <c r="AO26" s="1230" t="str">
        <f>IF(AND(AP26&gt;0,COUNTIFS(UomConversion!$D$8:$D$500,MID(AM26,1,3)*1,UomConversion!$J$8:$J$500,1)&gt;1),TEXT(AP26,"000")&amp;"."&amp;VLOOKUP(AP26,uom_list,4,FALSE),"")</f>
        <v/>
      </c>
      <c r="AP26" s="1230" t="str">
        <f t="shared" si="14"/>
        <v/>
      </c>
      <c r="AQ26" s="1230" t="str">
        <f t="shared" si="15"/>
        <v/>
      </c>
      <c r="AR26" s="204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S26" s="126" t="str">
        <f t="shared" si="16"/>
        <v/>
      </c>
      <c r="AT26" s="126" t="str" cm="1">
        <f t="array" ref="AT26">IF(M26="","",IF(ISNA(Slookup(MID(AM26,1,3)*1,UomConversion!$D$8:$J$500,2,UomConversion!$I$8:$I$500,1,UomConversion!$J$8:$J$500,1)),"",Slookup(MID(AM26,1,3)*1,UomConversion!$D$8:$J$500,2,UomConversion!$I$8:$I$500,1,UomConversion!$J$8:$J$500,1)))</f>
        <v/>
      </c>
      <c r="AU26" s="12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V26" s="143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W26" s="204" t="str">
        <f t="shared" si="17"/>
        <v/>
      </c>
      <c r="AX26" s="204" t="str">
        <f>IF(M26="","",SUMIFS($AW$8:AW26,$I$8:I26,I26))</f>
        <v/>
      </c>
      <c r="AY26" s="204" t="str">
        <f t="shared" si="18"/>
        <v/>
      </c>
    </row>
    <row r="27" spans="1:51" ht="27" customHeight="1">
      <c r="A27" s="765"/>
      <c r="B27" s="1352"/>
      <c r="C27" s="984"/>
      <c r="D27" s="984"/>
      <c r="E27" s="984"/>
      <c r="F27" s="1368"/>
      <c r="I27" s="426" t="str">
        <f t="shared" si="7"/>
        <v/>
      </c>
      <c r="J27" s="1327" t="str">
        <f t="shared" si="19"/>
        <v/>
      </c>
      <c r="K27" s="1320" t="str">
        <f t="shared" si="0"/>
        <v/>
      </c>
      <c r="L27" s="1321"/>
      <c r="M27" s="1311"/>
      <c r="N27" s="1322"/>
      <c r="O27" s="1322"/>
      <c r="P27" s="1311"/>
      <c r="Q27" s="1401"/>
      <c r="R27" s="1399"/>
      <c r="S27" s="1323" t="str">
        <f t="shared" si="1"/>
        <v/>
      </c>
      <c r="T27" s="1337"/>
      <c r="U27" s="1324" t="str">
        <f t="shared" si="8"/>
        <v/>
      </c>
      <c r="V27" s="1332" t="str">
        <f t="shared" si="2"/>
        <v/>
      </c>
      <c r="W27" s="1333"/>
      <c r="X27" s="1325" t="str">
        <f t="shared" si="3"/>
        <v/>
      </c>
      <c r="Y27" s="1326" t="str">
        <f t="shared" si="9"/>
        <v/>
      </c>
      <c r="Z27" s="1230" t="str" cm="1">
        <f t="array" ref="Z27">IF(M27="","",IF(P27=AM27,1,Slookup(MID(AM27,1,3)*1,UomConversion!$D$8:$J$500,5,UomConversion!$E$8:$E$500,MID(P27,1,3)*1,UomConversion!$J$8:$J$500,1)))</f>
        <v/>
      </c>
      <c r="AA27" s="1230" t="str">
        <f t="shared" si="10"/>
        <v/>
      </c>
      <c r="AB27" s="1231" t="str">
        <f t="shared" si="11"/>
        <v/>
      </c>
      <c r="AC27" s="1232" t="str">
        <f t="shared" si="12"/>
        <v/>
      </c>
      <c r="AD27" s="1230" t="str">
        <f>IF(M27="","",VLOOKUP(I27,product_list,12,FALSE))</f>
        <v/>
      </c>
      <c r="AE27" s="1231" t="str">
        <f>IFERROR(IF(M27="","",IF(invoice_price_type_id=1,VLOOKUP(I27,product_list,13,FALSE),IF(invoice_price_type_id=2,VLOOKUP(I27,product_list,14,FALSE),IF(invoice_price_type_id=3,VLOOKUP(I27,product_list,15,FALSE),IF(invoice_price_type_id=4,VLOOKUP(I27,product_list,16,FALSE),IF(invoice_price_type_id=5,VLOOKUP(I27,product_list,12,FALSE),"")))))),"")</f>
        <v/>
      </c>
      <c r="AF27" s="1233" t="str">
        <f t="shared" si="13"/>
        <v/>
      </c>
      <c r="AG27" s="1230" t="str">
        <f>IF(I27="","",IF(ISNA(MATCH(I27,IF(invoice_location_id=1,'[1]1_inventory_totals'!$C$8:$C$10000,IF(invoice_location_id=2,'[1]2_inventory_totals'!$C$8:$C$10000,0)),0)),0,IF(AU27&gt;0,1,0)))</f>
        <v/>
      </c>
      <c r="AH27" s="1230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I27" s="1230" t="str">
        <f>IF(M27="","",IF(ISNA(MATCH(I27,'[1]1_group_totals'!$C$8:$C$10000)),0,IF(AV27&gt;0,1,0)))</f>
        <v/>
      </c>
      <c r="AJ27" s="1230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K27" s="1230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L27" s="1230" t="str">
        <f>IF(M27="","",SUMIFS('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M27" s="1230" t="str">
        <f>IF(M27="","",VLOOKUP(I27,product_list,11,FALSE))</f>
        <v/>
      </c>
      <c r="AN27" s="1230" t="str">
        <f>IF(OR(ISNA(MATCH(MID(AM27,1,3)*1,UomConversion!$D$8:$D$500,0)),M27=""),"",IF(AS27="","",AS27))</f>
        <v/>
      </c>
      <c r="AO27" s="1230" t="str">
        <f>IF(AND(AP27&gt;0,COUNTIFS(UomConversion!$D$8:$D$500,MID(AM27,1,3)*1,UomConversion!$J$8:$J$500,1)&gt;1),TEXT(AP27,"000")&amp;"."&amp;VLOOKUP(AP27,uom_list,4,FALSE),"")</f>
        <v/>
      </c>
      <c r="AP27" s="1230" t="str">
        <f t="shared" si="14"/>
        <v/>
      </c>
      <c r="AQ27" s="1230" t="str">
        <f t="shared" si="15"/>
        <v/>
      </c>
      <c r="AR27" s="204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S27" s="126" t="str">
        <f t="shared" si="16"/>
        <v/>
      </c>
      <c r="AT27" s="126" t="str" cm="1">
        <f t="array" ref="AT27">IF(M27="","",IF(ISNA(Slookup(MID(AM27,1,3)*1,UomConversion!$D$8:$J$500,2,UomConversion!$I$8:$I$500,1,UomConversion!$J$8:$J$500,1)),"",Slookup(MID(AM27,1,3)*1,UomConversion!$D$8:$J$500,2,UomConversion!$I$8:$I$500,1,UomConversion!$J$8:$J$500,1)))</f>
        <v/>
      </c>
      <c r="AU27" s="12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V27" s="143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W27" s="204" t="str">
        <f t="shared" si="17"/>
        <v/>
      </c>
      <c r="AX27" s="204" t="str">
        <f>IF(M27="","",SUMIFS($AW$8:AW27,$I$8:I27,I27))</f>
        <v/>
      </c>
      <c r="AY27" s="204" t="str">
        <f t="shared" si="18"/>
        <v/>
      </c>
    </row>
    <row r="28" spans="1:51" ht="27" customHeight="1">
      <c r="A28" s="765"/>
      <c r="B28" s="1352"/>
      <c r="C28" s="984"/>
      <c r="D28" s="984"/>
      <c r="E28" s="984"/>
      <c r="F28" s="1368"/>
      <c r="I28" s="426" t="str">
        <f t="shared" si="7"/>
        <v/>
      </c>
      <c r="J28" s="1327" t="str">
        <f t="shared" si="19"/>
        <v/>
      </c>
      <c r="K28" s="1320" t="str">
        <f t="shared" si="0"/>
        <v/>
      </c>
      <c r="L28" s="1321"/>
      <c r="M28" s="1311"/>
      <c r="N28" s="1322"/>
      <c r="O28" s="1322"/>
      <c r="P28" s="1311"/>
      <c r="Q28" s="1401"/>
      <c r="R28" s="1399"/>
      <c r="S28" s="1323" t="str">
        <f t="shared" si="1"/>
        <v/>
      </c>
      <c r="T28" s="1337"/>
      <c r="U28" s="1324" t="str">
        <f t="shared" si="8"/>
        <v/>
      </c>
      <c r="V28" s="1332" t="str">
        <f t="shared" si="2"/>
        <v/>
      </c>
      <c r="W28" s="1333"/>
      <c r="X28" s="1325" t="str">
        <f t="shared" si="3"/>
        <v/>
      </c>
      <c r="Y28" s="1326" t="str">
        <f t="shared" si="9"/>
        <v/>
      </c>
      <c r="Z28" s="1230" t="str" cm="1">
        <f t="array" ref="Z28">IF(M28="","",IF(P28=AM28,1,Slookup(MID(AM28,1,3)*1,UomConversion!$D$8:$J$500,5,UomConversion!$E$8:$E$500,MID(P28,1,3)*1,UomConversion!$J$8:$J$500,1)))</f>
        <v/>
      </c>
      <c r="AA28" s="1230" t="str">
        <f t="shared" si="10"/>
        <v/>
      </c>
      <c r="AB28" s="1231" t="str">
        <f t="shared" si="11"/>
        <v/>
      </c>
      <c r="AC28" s="1232" t="str">
        <f t="shared" si="12"/>
        <v/>
      </c>
      <c r="AD28" s="1230" t="str">
        <f>IF(M28="","",VLOOKUP(I28,product_list,12,FALSE))</f>
        <v/>
      </c>
      <c r="AE28" s="1231" t="str">
        <f>IFERROR(IF(M28="","",IF(invoice_price_type_id=1,VLOOKUP(I28,product_list,13,FALSE),IF(invoice_price_type_id=2,VLOOKUP(I28,product_list,14,FALSE),IF(invoice_price_type_id=3,VLOOKUP(I28,product_list,15,FALSE),IF(invoice_price_type_id=4,VLOOKUP(I28,product_list,16,FALSE),IF(invoice_price_type_id=5,VLOOKUP(I28,product_list,12,FALSE),"")))))),"")</f>
        <v/>
      </c>
      <c r="AF28" s="1233" t="str">
        <f t="shared" si="13"/>
        <v/>
      </c>
      <c r="AG28" s="1230" t="str">
        <f>IF(I28="","",IF(ISNA(MATCH(I28,IF(invoice_location_id=1,'[1]1_inventory_totals'!$C$8:$C$10000,IF(invoice_location_id=2,'[1]2_inventory_totals'!$C$8:$C$10000,0)),0)),0,IF(AU28&gt;0,1,0)))</f>
        <v/>
      </c>
      <c r="AH28" s="1230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I28" s="1230" t="str">
        <f>IF(M28="","",IF(ISNA(MATCH(I28,'[1]1_group_totals'!$C$8:$C$10000)),0,IF(AV28&gt;0,1,0)))</f>
        <v/>
      </c>
      <c r="AJ28" s="1230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K28" s="1230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L28" s="1230" t="str">
        <f>IF(M28="","",SUMIFS('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M28" s="1230" t="str">
        <f>IF(M28="","",VLOOKUP(I28,product_list,11,FALSE))</f>
        <v/>
      </c>
      <c r="AN28" s="1230" t="str">
        <f>IF(OR(ISNA(MATCH(MID(AM28,1,3)*1,UomConversion!$D$8:$D$500,0)),M28=""),"",IF(AS28="","",AS28))</f>
        <v/>
      </c>
      <c r="AO28" s="1230" t="str">
        <f>IF(AND(AP28&gt;0,COUNTIFS(UomConversion!$D$8:$D$500,MID(AM28,1,3)*1,UomConversion!$J$8:$J$500,1)&gt;1),TEXT(AP28,"000")&amp;"."&amp;VLOOKUP(AP28,uom_list,4,FALSE),"")</f>
        <v/>
      </c>
      <c r="AP28" s="1230" t="str">
        <f t="shared" si="14"/>
        <v/>
      </c>
      <c r="AQ28" s="1230" t="str">
        <f t="shared" si="15"/>
        <v/>
      </c>
      <c r="AR28" s="204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S28" s="126" t="str">
        <f t="shared" si="16"/>
        <v/>
      </c>
      <c r="AT28" s="126" t="str" cm="1">
        <f t="array" ref="AT28">IF(M28="","",IF(ISNA(Slookup(MID(AM28,1,3)*1,UomConversion!$D$8:$J$500,2,UomConversion!$I$8:$I$500,1,UomConversion!$J$8:$J$500,1)),"",Slookup(MID(AM28,1,3)*1,UomConversion!$D$8:$J$500,2,UomConversion!$I$8:$I$500,1,UomConversion!$J$8:$J$500,1)))</f>
        <v/>
      </c>
      <c r="AU28" s="12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V28" s="143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W28" s="204" t="str">
        <f t="shared" si="17"/>
        <v/>
      </c>
      <c r="AX28" s="204" t="str">
        <f>IF(M28="","",SUMIFS($AW$8:AW28,$I$8:I28,I28))</f>
        <v/>
      </c>
      <c r="AY28" s="204" t="str">
        <f t="shared" si="18"/>
        <v/>
      </c>
    </row>
    <row r="29" spans="1:51" ht="27" customHeight="1">
      <c r="A29" s="765"/>
      <c r="B29" s="1352"/>
      <c r="C29" s="984"/>
      <c r="D29" s="984"/>
      <c r="E29" s="984"/>
      <c r="F29" s="1368"/>
      <c r="I29" s="426" t="str">
        <f t="shared" si="7"/>
        <v/>
      </c>
      <c r="J29" s="1327" t="str">
        <f t="shared" si="19"/>
        <v/>
      </c>
      <c r="K29" s="1320" t="str">
        <f t="shared" si="0"/>
        <v/>
      </c>
      <c r="L29" s="1321"/>
      <c r="M29" s="1311"/>
      <c r="N29" s="1322"/>
      <c r="O29" s="1322"/>
      <c r="P29" s="1311"/>
      <c r="Q29" s="1401"/>
      <c r="R29" s="1399"/>
      <c r="S29" s="1323" t="str">
        <f t="shared" si="1"/>
        <v/>
      </c>
      <c r="T29" s="1337"/>
      <c r="U29" s="1324" t="str">
        <f t="shared" si="8"/>
        <v/>
      </c>
      <c r="V29" s="1332" t="str">
        <f t="shared" si="2"/>
        <v/>
      </c>
      <c r="W29" s="1333"/>
      <c r="X29" s="1325" t="str">
        <f t="shared" si="3"/>
        <v/>
      </c>
      <c r="Y29" s="1326" t="str">
        <f t="shared" si="9"/>
        <v/>
      </c>
      <c r="Z29" s="1230" t="str" cm="1">
        <f t="array" ref="Z29">IF(M29="","",IF(P29=AM29,1,Slookup(MID(AM29,1,3)*1,UomConversion!$D$8:$J$500,5,UomConversion!$E$8:$E$500,MID(P29,1,3)*1,UomConversion!$J$8:$J$500,1)))</f>
        <v/>
      </c>
      <c r="AA29" s="1230" t="str">
        <f t="shared" si="10"/>
        <v/>
      </c>
      <c r="AB29" s="1231" t="str">
        <f t="shared" si="11"/>
        <v/>
      </c>
      <c r="AC29" s="1232" t="str">
        <f t="shared" si="12"/>
        <v/>
      </c>
      <c r="AD29" s="1230" t="str">
        <f>IF(M29="","",VLOOKUP(I29,product_list,12,FALSE))</f>
        <v/>
      </c>
      <c r="AE29" s="1231" t="str">
        <f>IFERROR(IF(M29="","",IF(invoice_price_type_id=1,VLOOKUP(I29,product_list,13,FALSE),IF(invoice_price_type_id=2,VLOOKUP(I29,product_list,14,FALSE),IF(invoice_price_type_id=3,VLOOKUP(I29,product_list,15,FALSE),IF(invoice_price_type_id=4,VLOOKUP(I29,product_list,16,FALSE),IF(invoice_price_type_id=5,VLOOKUP(I29,product_list,12,FALSE),"")))))),"")</f>
        <v/>
      </c>
      <c r="AF29" s="1233" t="str">
        <f t="shared" si="13"/>
        <v/>
      </c>
      <c r="AG29" s="1230" t="str">
        <f>IF(I29="","",IF(ISNA(MATCH(I29,IF(invoice_location_id=1,'[1]1_inventory_totals'!$C$8:$C$10000,IF(invoice_location_id=2,'[1]2_inventory_totals'!$C$8:$C$10000,0)),0)),0,IF(AU29&gt;0,1,0)))</f>
        <v/>
      </c>
      <c r="AH29" s="1230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I29" s="1230" t="str">
        <f>IF(M29="","",IF(ISNA(MATCH(I29,'[1]1_group_totals'!$C$8:$C$10000)),0,IF(AV29&gt;0,1,0)))</f>
        <v/>
      </c>
      <c r="AJ29" s="1230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K29" s="1230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L29" s="1230" t="str">
        <f>IF(M29="","",SUMIFS('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M29" s="1230" t="str">
        <f>IF(M29="","",VLOOKUP(I29,product_list,11,FALSE))</f>
        <v/>
      </c>
      <c r="AN29" s="1230" t="str">
        <f>IF(OR(ISNA(MATCH(MID(AM29,1,3)*1,UomConversion!$D$8:$D$500,0)),M29=""),"",IF(AS29="","",AS29))</f>
        <v/>
      </c>
      <c r="AO29" s="1230" t="str">
        <f>IF(AND(AP29&gt;0,COUNTIFS(UomConversion!$D$8:$D$500,MID(AM29,1,3)*1,UomConversion!$J$8:$J$500,1)&gt;1),TEXT(AP29,"000")&amp;"."&amp;VLOOKUP(AP29,uom_list,4,FALSE),"")</f>
        <v/>
      </c>
      <c r="AP29" s="1230" t="str">
        <f t="shared" si="14"/>
        <v/>
      </c>
      <c r="AQ29" s="1230" t="str">
        <f t="shared" si="15"/>
        <v/>
      </c>
      <c r="AR29" s="204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S29" s="126" t="str">
        <f t="shared" si="16"/>
        <v/>
      </c>
      <c r="AT29" s="126" t="str" cm="1">
        <f t="array" ref="AT29">IF(M29="","",IF(ISNA(Slookup(MID(AM29,1,3)*1,UomConversion!$D$8:$J$500,2,UomConversion!$I$8:$I$500,1,UomConversion!$J$8:$J$500,1)),"",Slookup(MID(AM29,1,3)*1,UomConversion!$D$8:$J$500,2,UomConversion!$I$8:$I$500,1,UomConversion!$J$8:$J$500,1)))</f>
        <v/>
      </c>
      <c r="AU29" s="12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V29" s="143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W29" s="204" t="str">
        <f t="shared" si="17"/>
        <v/>
      </c>
      <c r="AX29" s="204" t="str">
        <f>IF(M29="","",SUMIFS($AW$8:AW29,$I$8:I29,I29))</f>
        <v/>
      </c>
      <c r="AY29" s="204" t="str">
        <f t="shared" si="18"/>
        <v/>
      </c>
    </row>
    <row r="30" spans="1:51" ht="27" customHeight="1">
      <c r="A30" s="765"/>
      <c r="B30" s="1352"/>
      <c r="C30" s="984"/>
      <c r="D30" s="984"/>
      <c r="E30" s="984"/>
      <c r="F30" s="1368"/>
      <c r="I30" s="426" t="str">
        <f t="shared" si="7"/>
        <v/>
      </c>
      <c r="J30" s="1327" t="str">
        <f t="shared" si="19"/>
        <v/>
      </c>
      <c r="K30" s="1320" t="str">
        <f t="shared" si="0"/>
        <v/>
      </c>
      <c r="L30" s="1321"/>
      <c r="M30" s="1311"/>
      <c r="N30" s="1322"/>
      <c r="O30" s="1322"/>
      <c r="P30" s="1311"/>
      <c r="Q30" s="1401"/>
      <c r="R30" s="1399"/>
      <c r="S30" s="1323" t="str">
        <f t="shared" si="1"/>
        <v/>
      </c>
      <c r="T30" s="1337"/>
      <c r="U30" s="1324" t="str">
        <f t="shared" si="8"/>
        <v/>
      </c>
      <c r="V30" s="1332" t="str">
        <f t="shared" si="2"/>
        <v/>
      </c>
      <c r="W30" s="1333"/>
      <c r="X30" s="1325" t="str">
        <f t="shared" si="3"/>
        <v/>
      </c>
      <c r="Y30" s="1326" t="str">
        <f t="shared" si="9"/>
        <v/>
      </c>
      <c r="Z30" s="1230" t="str" cm="1">
        <f t="array" ref="Z30">IF(M30="","",IF(P30=AM30,1,Slookup(MID(AM30,1,3)*1,UomConversion!$D$8:$J$500,5,UomConversion!$E$8:$E$500,MID(P30,1,3)*1,UomConversion!$J$8:$J$500,1)))</f>
        <v/>
      </c>
      <c r="AA30" s="1230" t="str">
        <f t="shared" si="10"/>
        <v/>
      </c>
      <c r="AB30" s="1231" t="str">
        <f t="shared" si="11"/>
        <v/>
      </c>
      <c r="AC30" s="1232" t="str">
        <f t="shared" si="12"/>
        <v/>
      </c>
      <c r="AD30" s="1230" t="str">
        <f>IF(M30="","",VLOOKUP(I30,product_list,12,FALSE))</f>
        <v/>
      </c>
      <c r="AE30" s="1231" t="str">
        <f>IFERROR(IF(M30="","",IF(invoice_price_type_id=1,VLOOKUP(I30,product_list,13,FALSE),IF(invoice_price_type_id=2,VLOOKUP(I30,product_list,14,FALSE),IF(invoice_price_type_id=3,VLOOKUP(I30,product_list,15,FALSE),IF(invoice_price_type_id=4,VLOOKUP(I30,product_list,16,FALSE),IF(invoice_price_type_id=5,VLOOKUP(I30,product_list,12,FALSE),"")))))),"")</f>
        <v/>
      </c>
      <c r="AF30" s="1233" t="str">
        <f t="shared" si="13"/>
        <v/>
      </c>
      <c r="AG30" s="1230" t="str">
        <f>IF(I30="","",IF(ISNA(MATCH(I30,IF(invoice_location_id=1,'[1]1_inventory_totals'!$C$8:$C$10000,IF(invoice_location_id=2,'[1]2_inventory_totals'!$C$8:$C$10000,0)),0)),0,IF(AU30&gt;0,1,0)))</f>
        <v/>
      </c>
      <c r="AH30" s="1230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I30" s="1230" t="str">
        <f>IF(M30="","",IF(ISNA(MATCH(I30,'[1]1_group_totals'!$C$8:$C$10000)),0,IF(AV30&gt;0,1,0)))</f>
        <v/>
      </c>
      <c r="AJ30" s="1230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K30" s="1230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L30" s="1230" t="str">
        <f>IF(M30="","",SUMIFS('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M30" s="1230" t="str">
        <f>IF(M30="","",VLOOKUP(I30,product_list,11,FALSE))</f>
        <v/>
      </c>
      <c r="AN30" s="1230" t="str">
        <f>IF(OR(ISNA(MATCH(MID(AM30,1,3)*1,UomConversion!$D$8:$D$500,0)),M30=""),"",IF(AS30="","",AS30))</f>
        <v/>
      </c>
      <c r="AO30" s="1230" t="str">
        <f>IF(AND(AP30&gt;0,COUNTIFS(UomConversion!$D$8:$D$500,MID(AM30,1,3)*1,UomConversion!$J$8:$J$500,1)&gt;1),TEXT(AP30,"000")&amp;"."&amp;VLOOKUP(AP30,uom_list,4,FALSE),"")</f>
        <v/>
      </c>
      <c r="AP30" s="1230" t="str">
        <f t="shared" si="14"/>
        <v/>
      </c>
      <c r="AQ30" s="1230" t="str">
        <f t="shared" si="15"/>
        <v/>
      </c>
      <c r="AR30" s="204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S30" s="126" t="str">
        <f t="shared" si="16"/>
        <v/>
      </c>
      <c r="AT30" s="126" t="str" cm="1">
        <f t="array" ref="AT30">IF(M30="","",IF(ISNA(Slookup(MID(AM30,1,3)*1,UomConversion!$D$8:$J$500,2,UomConversion!$I$8:$I$500,1,UomConversion!$J$8:$J$500,1)),"",Slookup(MID(AM30,1,3)*1,UomConversion!$D$8:$J$500,2,UomConversion!$I$8:$I$500,1,UomConversion!$J$8:$J$500,1)))</f>
        <v/>
      </c>
      <c r="AU30" s="12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V30" s="143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W30" s="204" t="str">
        <f t="shared" si="17"/>
        <v/>
      </c>
      <c r="AX30" s="204" t="str">
        <f>IF(M30="","",SUMIFS($AW$8:AW30,$I$8:I30,I30))</f>
        <v/>
      </c>
      <c r="AY30" s="204" t="str">
        <f t="shared" si="18"/>
        <v/>
      </c>
    </row>
    <row r="31" spans="1:51" ht="27" customHeight="1">
      <c r="A31" s="765"/>
      <c r="B31" s="1352"/>
      <c r="C31" s="984"/>
      <c r="D31" s="984"/>
      <c r="E31" s="984"/>
      <c r="F31" s="1368"/>
      <c r="I31" s="426" t="str">
        <f t="shared" si="7"/>
        <v/>
      </c>
      <c r="J31" s="1327" t="str">
        <f t="shared" ref="J31:J72" si="20">IF(M31="","",1)</f>
        <v/>
      </c>
      <c r="K31" s="1320" t="str">
        <f t="shared" si="0"/>
        <v/>
      </c>
      <c r="L31" s="1321"/>
      <c r="M31" s="1311"/>
      <c r="N31" s="1322"/>
      <c r="O31" s="1322"/>
      <c r="P31" s="1311"/>
      <c r="Q31" s="1401"/>
      <c r="R31" s="1399"/>
      <c r="S31" s="1323" t="str">
        <f t="shared" si="1"/>
        <v/>
      </c>
      <c r="T31" s="1337"/>
      <c r="U31" s="1324" t="str">
        <f t="shared" si="8"/>
        <v/>
      </c>
      <c r="V31" s="1332" t="str">
        <f t="shared" si="2"/>
        <v/>
      </c>
      <c r="W31" s="1333"/>
      <c r="X31" s="1325" t="str">
        <f t="shared" si="3"/>
        <v/>
      </c>
      <c r="Y31" s="1326" t="str">
        <f t="shared" si="9"/>
        <v/>
      </c>
      <c r="Z31" s="1230" t="str" cm="1">
        <f t="array" ref="Z31">IF(M31="","",IF(P31=AM31,1,Slookup(MID(AM31,1,3)*1,UomConversion!$D$8:$J$500,5,UomConversion!$E$8:$E$500,MID(P31,1,3)*1,UomConversion!$J$8:$J$500,1)))</f>
        <v/>
      </c>
      <c r="AA31" s="1230" t="str">
        <f t="shared" si="10"/>
        <v/>
      </c>
      <c r="AB31" s="1231" t="str">
        <f t="shared" si="11"/>
        <v/>
      </c>
      <c r="AC31" s="1232" t="str">
        <f t="shared" si="12"/>
        <v/>
      </c>
      <c r="AD31" s="1230" t="str">
        <f>IF(M31="","",VLOOKUP(I31,product_list,12,FALSE))</f>
        <v/>
      </c>
      <c r="AE31" s="1231" t="str">
        <f>IFERROR(IF(M31="","",IF(invoice_price_type_id=1,VLOOKUP(I31,product_list,13,FALSE),IF(invoice_price_type_id=2,VLOOKUP(I31,product_list,14,FALSE),IF(invoice_price_type_id=3,VLOOKUP(I31,product_list,15,FALSE),IF(invoice_price_type_id=4,VLOOKUP(I31,product_list,16,FALSE),IF(invoice_price_type_id=5,VLOOKUP(I31,product_list,12,FALSE),"")))))),"")</f>
        <v/>
      </c>
      <c r="AF31" s="1233" t="str">
        <f t="shared" si="13"/>
        <v/>
      </c>
      <c r="AG31" s="1230" t="str">
        <f>IF(I31="","",IF(ISNA(MATCH(I31,IF(invoice_location_id=1,'[1]1_inventory_totals'!$C$8:$C$10000,IF(invoice_location_id=2,'[1]2_inventory_totals'!$C$8:$C$10000,0)),0)),0,IF(AU31&gt;0,1,0)))</f>
        <v/>
      </c>
      <c r="AH31" s="1230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I31" s="1230" t="str">
        <f>IF(M31="","",IF(ISNA(MATCH(I31,'[1]1_group_totals'!$C$8:$C$10000)),0,IF(AV31&gt;0,1,0)))</f>
        <v/>
      </c>
      <c r="AJ31" s="1230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K31" s="1230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L31" s="1230" t="str">
        <f>IF(M31="","",SUMIFS('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M31" s="1230" t="str">
        <f>IF(M31="","",VLOOKUP(I31,product_list,11,FALSE))</f>
        <v/>
      </c>
      <c r="AN31" s="1230" t="str">
        <f>IF(OR(ISNA(MATCH(MID(AM31,1,3)*1,UomConversion!$D$8:$D$500,0)),M31=""),"",IF(AS31="","",AS31))</f>
        <v/>
      </c>
      <c r="AO31" s="1230" t="str">
        <f>IF(AND(AP31&gt;0,COUNTIFS(UomConversion!$D$8:$D$500,MID(AM31,1,3)*1,UomConversion!$J$8:$J$500,1)&gt;1),TEXT(AP31,"000")&amp;"."&amp;VLOOKUP(AP31,uom_list,4,FALSE),"")</f>
        <v/>
      </c>
      <c r="AP31" s="1230" t="str">
        <f t="shared" si="14"/>
        <v/>
      </c>
      <c r="AQ31" s="1230" t="str">
        <f t="shared" si="15"/>
        <v/>
      </c>
      <c r="AR31" s="204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S31" s="126" t="str">
        <f t="shared" si="16"/>
        <v/>
      </c>
      <c r="AT31" s="126" t="str" cm="1">
        <f t="array" ref="AT31">IF(M31="","",IF(ISNA(Slookup(MID(AM31,1,3)*1,UomConversion!$D$8:$J$500,2,UomConversion!$I$8:$I$500,1,UomConversion!$J$8:$J$500,1)),"",Slookup(MID(AM31,1,3)*1,UomConversion!$D$8:$J$500,2,UomConversion!$I$8:$I$500,1,UomConversion!$J$8:$J$500,1)))</f>
        <v/>
      </c>
      <c r="AU31" s="12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V31" s="143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W31" s="204" t="str">
        <f t="shared" si="17"/>
        <v/>
      </c>
      <c r="AX31" s="204" t="str">
        <f>IF(M31="","",SUMIFS($AW$8:AW31,$I$8:I31,I31))</f>
        <v/>
      </c>
      <c r="AY31" s="204" t="str">
        <f t="shared" si="18"/>
        <v/>
      </c>
    </row>
    <row r="32" spans="1:51" ht="27" customHeight="1">
      <c r="A32" s="765"/>
      <c r="B32" s="1352"/>
      <c r="C32" s="984"/>
      <c r="D32" s="984"/>
      <c r="E32" s="984"/>
      <c r="F32" s="1368"/>
      <c r="I32" s="426" t="str">
        <f t="shared" si="7"/>
        <v/>
      </c>
      <c r="J32" s="1327" t="str">
        <f t="shared" si="20"/>
        <v/>
      </c>
      <c r="K32" s="1320" t="str">
        <f t="shared" si="0"/>
        <v/>
      </c>
      <c r="L32" s="1321"/>
      <c r="M32" s="1311"/>
      <c r="N32" s="1322"/>
      <c r="O32" s="1322"/>
      <c r="P32" s="1311"/>
      <c r="Q32" s="1401"/>
      <c r="R32" s="1399"/>
      <c r="S32" s="1323" t="str">
        <f t="shared" si="1"/>
        <v/>
      </c>
      <c r="T32" s="1337"/>
      <c r="U32" s="1324" t="str">
        <f t="shared" si="8"/>
        <v/>
      </c>
      <c r="V32" s="1332" t="str">
        <f t="shared" si="2"/>
        <v/>
      </c>
      <c r="W32" s="1333"/>
      <c r="X32" s="1325" t="str">
        <f t="shared" si="3"/>
        <v/>
      </c>
      <c r="Y32" s="1326" t="str">
        <f t="shared" si="9"/>
        <v/>
      </c>
      <c r="Z32" s="1230" t="str" cm="1">
        <f t="array" ref="Z32">IF(M32="","",IF(P32=AM32,1,Slookup(MID(AM32,1,3)*1,UomConversion!$D$8:$J$500,5,UomConversion!$E$8:$E$500,MID(P32,1,3)*1,UomConversion!$J$8:$J$500,1)))</f>
        <v/>
      </c>
      <c r="AA32" s="1230" t="str">
        <f t="shared" si="10"/>
        <v/>
      </c>
      <c r="AB32" s="1231" t="str">
        <f t="shared" si="11"/>
        <v/>
      </c>
      <c r="AC32" s="1232" t="str">
        <f t="shared" si="12"/>
        <v/>
      </c>
      <c r="AD32" s="1230" t="str">
        <f>IF(M32="","",VLOOKUP(I32,product_list,12,FALSE))</f>
        <v/>
      </c>
      <c r="AE32" s="1231" t="str">
        <f>IFERROR(IF(M32="","",IF(invoice_price_type_id=1,VLOOKUP(I32,product_list,13,FALSE),IF(invoice_price_type_id=2,VLOOKUP(I32,product_list,14,FALSE),IF(invoice_price_type_id=3,VLOOKUP(I32,product_list,15,FALSE),IF(invoice_price_type_id=4,VLOOKUP(I32,product_list,16,FALSE),IF(invoice_price_type_id=5,VLOOKUP(I32,product_list,12,FALSE),"")))))),"")</f>
        <v/>
      </c>
      <c r="AF32" s="1233" t="str">
        <f t="shared" si="13"/>
        <v/>
      </c>
      <c r="AG32" s="1230" t="str">
        <f>IF(I32="","",IF(ISNA(MATCH(I32,IF(invoice_location_id=1,'[1]1_inventory_totals'!$C$8:$C$10000,IF(invoice_location_id=2,'[1]2_inventory_totals'!$C$8:$C$10000,0)),0)),0,IF(AU32&gt;0,1,0)))</f>
        <v/>
      </c>
      <c r="AH32" s="1230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I32" s="1230" t="str">
        <f>IF(M32="","",IF(ISNA(MATCH(I32,'[1]1_group_totals'!$C$8:$C$10000)),0,IF(AV32&gt;0,1,0)))</f>
        <v/>
      </c>
      <c r="AJ32" s="1230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K32" s="1230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L32" s="1230" t="str">
        <f>IF(M32="","",SUMIFS('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M32" s="1230" t="str">
        <f>IF(M32="","",VLOOKUP(I32,product_list,11,FALSE))</f>
        <v/>
      </c>
      <c r="AN32" s="1230" t="str">
        <f>IF(OR(ISNA(MATCH(MID(AM32,1,3)*1,UomConversion!$D$8:$D$500,0)),M32=""),"",IF(AS32="","",AS32))</f>
        <v/>
      </c>
      <c r="AO32" s="1230" t="str">
        <f>IF(AND(AP32&gt;0,COUNTIFS(UomConversion!$D$8:$D$500,MID(AM32,1,3)*1,UomConversion!$J$8:$J$500,1)&gt;1),TEXT(AP32,"000")&amp;"."&amp;VLOOKUP(AP32,uom_list,4,FALSE),"")</f>
        <v/>
      </c>
      <c r="AP32" s="1230" t="str">
        <f t="shared" si="14"/>
        <v/>
      </c>
      <c r="AQ32" s="1230" t="str">
        <f t="shared" si="15"/>
        <v/>
      </c>
      <c r="AR32" s="204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S32" s="126" t="str">
        <f t="shared" si="16"/>
        <v/>
      </c>
      <c r="AT32" s="126" t="str" cm="1">
        <f t="array" ref="AT32">IF(M32="","",IF(ISNA(Slookup(MID(AM32,1,3)*1,UomConversion!$D$8:$J$500,2,UomConversion!$I$8:$I$500,1,UomConversion!$J$8:$J$500,1)),"",Slookup(MID(AM32,1,3)*1,UomConversion!$D$8:$J$500,2,UomConversion!$I$8:$I$500,1,UomConversion!$J$8:$J$500,1)))</f>
        <v/>
      </c>
      <c r="AU32" s="12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V32" s="143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W32" s="204" t="str">
        <f t="shared" si="17"/>
        <v/>
      </c>
      <c r="AX32" s="204" t="str">
        <f>IF(M32="","",SUMIFS($AW$8:AW32,$I$8:I32,I32))</f>
        <v/>
      </c>
      <c r="AY32" s="204" t="str">
        <f t="shared" si="18"/>
        <v/>
      </c>
    </row>
    <row r="33" spans="1:51" ht="27" customHeight="1">
      <c r="A33" s="765"/>
      <c r="B33" s="1352"/>
      <c r="C33" s="984"/>
      <c r="D33" s="984"/>
      <c r="E33" s="984"/>
      <c r="F33" s="1368"/>
      <c r="I33" s="426" t="str">
        <f t="shared" si="7"/>
        <v/>
      </c>
      <c r="J33" s="1327" t="str">
        <f t="shared" si="20"/>
        <v/>
      </c>
      <c r="K33" s="1320" t="str">
        <f t="shared" si="0"/>
        <v/>
      </c>
      <c r="L33" s="1321"/>
      <c r="M33" s="1311"/>
      <c r="N33" s="1322"/>
      <c r="O33" s="1322"/>
      <c r="P33" s="1311"/>
      <c r="Q33" s="1401"/>
      <c r="R33" s="1399"/>
      <c r="S33" s="1323" t="str">
        <f t="shared" si="1"/>
        <v/>
      </c>
      <c r="T33" s="1337"/>
      <c r="U33" s="1324" t="str">
        <f t="shared" si="8"/>
        <v/>
      </c>
      <c r="V33" s="1332" t="str">
        <f t="shared" si="2"/>
        <v/>
      </c>
      <c r="W33" s="1333"/>
      <c r="X33" s="1325" t="str">
        <f t="shared" si="3"/>
        <v/>
      </c>
      <c r="Y33" s="1326" t="str">
        <f t="shared" si="9"/>
        <v/>
      </c>
      <c r="Z33" s="1230" t="str" cm="1">
        <f t="array" ref="Z33">IF(M33="","",IF(P33=AM33,1,Slookup(MID(AM33,1,3)*1,UomConversion!$D$8:$J$500,5,UomConversion!$E$8:$E$500,MID(P33,1,3)*1,UomConversion!$J$8:$J$500,1)))</f>
        <v/>
      </c>
      <c r="AA33" s="1230" t="str">
        <f t="shared" si="10"/>
        <v/>
      </c>
      <c r="AB33" s="1231" t="str">
        <f t="shared" si="11"/>
        <v/>
      </c>
      <c r="AC33" s="1232" t="str">
        <f t="shared" si="12"/>
        <v/>
      </c>
      <c r="AD33" s="1230" t="str">
        <f>IF(M33="","",VLOOKUP(I33,product_list,12,FALSE))</f>
        <v/>
      </c>
      <c r="AE33" s="1231" t="str">
        <f>IFERROR(IF(M33="","",IF(invoice_price_type_id=1,VLOOKUP(I33,product_list,13,FALSE),IF(invoice_price_type_id=2,VLOOKUP(I33,product_list,14,FALSE),IF(invoice_price_type_id=3,VLOOKUP(I33,product_list,15,FALSE),IF(invoice_price_type_id=4,VLOOKUP(I33,product_list,16,FALSE),IF(invoice_price_type_id=5,VLOOKUP(I33,product_list,12,FALSE),"")))))),"")</f>
        <v/>
      </c>
      <c r="AF33" s="1233" t="str">
        <f t="shared" si="13"/>
        <v/>
      </c>
      <c r="AG33" s="1230" t="str">
        <f>IF(I33="","",IF(ISNA(MATCH(I33,IF(invoice_location_id=1,'[1]1_inventory_totals'!$C$8:$C$10000,IF(invoice_location_id=2,'[1]2_inventory_totals'!$C$8:$C$10000,0)),0)),0,IF(AU33&gt;0,1,0)))</f>
        <v/>
      </c>
      <c r="AH33" s="1230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I33" s="1230" t="str">
        <f>IF(M33="","",IF(ISNA(MATCH(I33,'[1]1_group_totals'!$C$8:$C$10000)),0,IF(AV33&gt;0,1,0)))</f>
        <v/>
      </c>
      <c r="AJ33" s="1230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K33" s="1230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L33" s="1230" t="str">
        <f>IF(M33="","",SUMIFS('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M33" s="1230" t="str">
        <f>IF(M33="","",VLOOKUP(I33,product_list,11,FALSE))</f>
        <v/>
      </c>
      <c r="AN33" s="1230" t="str">
        <f>IF(OR(ISNA(MATCH(MID(AM33,1,3)*1,UomConversion!$D$8:$D$500,0)),M33=""),"",IF(AS33="","",AS33))</f>
        <v/>
      </c>
      <c r="AO33" s="1230" t="str">
        <f>IF(AND(AP33&gt;0,COUNTIFS(UomConversion!$D$8:$D$500,MID(AM33,1,3)*1,UomConversion!$J$8:$J$500,1)&gt;1),TEXT(AP33,"000")&amp;"."&amp;VLOOKUP(AP33,uom_list,4,FALSE),"")</f>
        <v/>
      </c>
      <c r="AP33" s="1230" t="str">
        <f t="shared" si="14"/>
        <v/>
      </c>
      <c r="AQ33" s="1230" t="str">
        <f t="shared" si="15"/>
        <v/>
      </c>
      <c r="AR33" s="204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S33" s="126" t="str">
        <f t="shared" si="16"/>
        <v/>
      </c>
      <c r="AT33" s="126" t="str" cm="1">
        <f t="array" ref="AT33">IF(M33="","",IF(ISNA(Slookup(MID(AM33,1,3)*1,UomConversion!$D$8:$J$500,2,UomConversion!$I$8:$I$500,1,UomConversion!$J$8:$J$500,1)),"",Slookup(MID(AM33,1,3)*1,UomConversion!$D$8:$J$500,2,UomConversion!$I$8:$I$500,1,UomConversion!$J$8:$J$500,1)))</f>
        <v/>
      </c>
      <c r="AU33" s="12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V33" s="143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W33" s="204" t="str">
        <f t="shared" si="17"/>
        <v/>
      </c>
      <c r="AX33" s="204" t="str">
        <f>IF(M33="","",SUMIFS($AW$8:AW33,$I$8:I33,I33))</f>
        <v/>
      </c>
      <c r="AY33" s="204" t="str">
        <f t="shared" si="18"/>
        <v/>
      </c>
    </row>
    <row r="34" spans="1:51" ht="27" customHeight="1">
      <c r="A34" s="765"/>
      <c r="B34" s="1352"/>
      <c r="C34" s="984"/>
      <c r="D34" s="984"/>
      <c r="E34" s="984"/>
      <c r="F34" s="1368"/>
      <c r="I34" s="426" t="str">
        <f t="shared" si="7"/>
        <v/>
      </c>
      <c r="J34" s="1327" t="str">
        <f t="shared" si="20"/>
        <v/>
      </c>
      <c r="K34" s="1320" t="str">
        <f t="shared" si="0"/>
        <v/>
      </c>
      <c r="L34" s="1321"/>
      <c r="M34" s="1311"/>
      <c r="N34" s="1322"/>
      <c r="O34" s="1322"/>
      <c r="P34" s="1311"/>
      <c r="Q34" s="1401"/>
      <c r="R34" s="1399"/>
      <c r="S34" s="1323" t="str">
        <f t="shared" si="1"/>
        <v/>
      </c>
      <c r="T34" s="1337"/>
      <c r="U34" s="1324" t="str">
        <f t="shared" si="8"/>
        <v/>
      </c>
      <c r="V34" s="1332" t="str">
        <f t="shared" si="2"/>
        <v/>
      </c>
      <c r="W34" s="1333"/>
      <c r="X34" s="1325" t="str">
        <f t="shared" si="3"/>
        <v/>
      </c>
      <c r="Y34" s="1326" t="str">
        <f t="shared" si="9"/>
        <v/>
      </c>
      <c r="Z34" s="1230" t="str" cm="1">
        <f t="array" ref="Z34">IF(M34="","",IF(P34=AM34,1,Slookup(MID(AM34,1,3)*1,UomConversion!$D$8:$J$500,5,UomConversion!$E$8:$E$500,MID(P34,1,3)*1,UomConversion!$J$8:$J$500,1)))</f>
        <v/>
      </c>
      <c r="AA34" s="1230" t="str">
        <f t="shared" si="10"/>
        <v/>
      </c>
      <c r="AB34" s="1231" t="str">
        <f t="shared" si="11"/>
        <v/>
      </c>
      <c r="AC34" s="1232" t="str">
        <f t="shared" si="12"/>
        <v/>
      </c>
      <c r="AD34" s="1230" t="str">
        <f>IF(M34="","",VLOOKUP(I34,product_list,12,FALSE))</f>
        <v/>
      </c>
      <c r="AE34" s="1231" t="str">
        <f>IFERROR(IF(M34="","",IF(invoice_price_type_id=1,VLOOKUP(I34,product_list,13,FALSE),IF(invoice_price_type_id=2,VLOOKUP(I34,product_list,14,FALSE),IF(invoice_price_type_id=3,VLOOKUP(I34,product_list,15,FALSE),IF(invoice_price_type_id=4,VLOOKUP(I34,product_list,16,FALSE),IF(invoice_price_type_id=5,VLOOKUP(I34,product_list,12,FALSE),"")))))),"")</f>
        <v/>
      </c>
      <c r="AF34" s="1233" t="str">
        <f t="shared" si="13"/>
        <v/>
      </c>
      <c r="AG34" s="1230" t="str">
        <f>IF(I34="","",IF(ISNA(MATCH(I34,IF(invoice_location_id=1,'[1]1_inventory_totals'!$C$8:$C$10000,IF(invoice_location_id=2,'[1]2_inventory_totals'!$C$8:$C$10000,0)),0)),0,IF(AU34&gt;0,1,0)))</f>
        <v/>
      </c>
      <c r="AH34" s="1230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I34" s="1230" t="str">
        <f>IF(M34="","",IF(ISNA(MATCH(I34,'[1]1_group_totals'!$C$8:$C$10000)),0,IF(AV34&gt;0,1,0)))</f>
        <v/>
      </c>
      <c r="AJ34" s="1230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K34" s="1230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L34" s="1230" t="str">
        <f>IF(M34="","",SUMIFS('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M34" s="1230" t="str">
        <f>IF(M34="","",VLOOKUP(I34,product_list,11,FALSE))</f>
        <v/>
      </c>
      <c r="AN34" s="1230" t="str">
        <f>IF(OR(ISNA(MATCH(MID(AM34,1,3)*1,UomConversion!$D$8:$D$500,0)),M34=""),"",IF(AS34="","",AS34))</f>
        <v/>
      </c>
      <c r="AO34" s="1230" t="str">
        <f>IF(AND(AP34&gt;0,COUNTIFS(UomConversion!$D$8:$D$500,MID(AM34,1,3)*1,UomConversion!$J$8:$J$500,1)&gt;1),TEXT(AP34,"000")&amp;"."&amp;VLOOKUP(AP34,uom_list,4,FALSE),"")</f>
        <v/>
      </c>
      <c r="AP34" s="1230" t="str">
        <f t="shared" si="14"/>
        <v/>
      </c>
      <c r="AQ34" s="1230" t="str">
        <f t="shared" si="15"/>
        <v/>
      </c>
      <c r="AR34" s="204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S34" s="126" t="str">
        <f t="shared" si="16"/>
        <v/>
      </c>
      <c r="AT34" s="126" t="str" cm="1">
        <f t="array" ref="AT34">IF(M34="","",IF(ISNA(Slookup(MID(AM34,1,3)*1,UomConversion!$D$8:$J$500,2,UomConversion!$I$8:$I$500,1,UomConversion!$J$8:$J$500,1)),"",Slookup(MID(AM34,1,3)*1,UomConversion!$D$8:$J$500,2,UomConversion!$I$8:$I$500,1,UomConversion!$J$8:$J$500,1)))</f>
        <v/>
      </c>
      <c r="AU34" s="12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V34" s="143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W34" s="204" t="str">
        <f t="shared" si="17"/>
        <v/>
      </c>
      <c r="AX34" s="204" t="str">
        <f>IF(M34="","",SUMIFS($AW$8:AW34,$I$8:I34,I34))</f>
        <v/>
      </c>
      <c r="AY34" s="204" t="str">
        <f t="shared" si="18"/>
        <v/>
      </c>
    </row>
    <row r="35" spans="1:51" ht="27" customHeight="1">
      <c r="A35" s="765"/>
      <c r="B35" s="1352"/>
      <c r="C35" s="984"/>
      <c r="D35" s="984"/>
      <c r="E35" s="984"/>
      <c r="F35" s="1368"/>
      <c r="I35" s="426" t="str">
        <f t="shared" si="7"/>
        <v/>
      </c>
      <c r="J35" s="1327" t="str">
        <f t="shared" si="20"/>
        <v/>
      </c>
      <c r="K35" s="1320" t="str">
        <f t="shared" si="0"/>
        <v/>
      </c>
      <c r="L35" s="1321"/>
      <c r="M35" s="1311"/>
      <c r="N35" s="1322"/>
      <c r="O35" s="1322"/>
      <c r="P35" s="1311"/>
      <c r="Q35" s="1401"/>
      <c r="R35" s="1399"/>
      <c r="S35" s="1323" t="str">
        <f t="shared" si="1"/>
        <v/>
      </c>
      <c r="T35" s="1337"/>
      <c r="U35" s="1324" t="str">
        <f t="shared" si="8"/>
        <v/>
      </c>
      <c r="V35" s="1332" t="str">
        <f t="shared" si="2"/>
        <v/>
      </c>
      <c r="W35" s="1333"/>
      <c r="X35" s="1325" t="str">
        <f t="shared" si="3"/>
        <v/>
      </c>
      <c r="Y35" s="1326" t="str">
        <f t="shared" si="9"/>
        <v/>
      </c>
      <c r="Z35" s="1230" t="str" cm="1">
        <f t="array" ref="Z35">IF(M35="","",IF(P35=AM35,1,Slookup(MID(AM35,1,3)*1,UomConversion!$D$8:$J$500,5,UomConversion!$E$8:$E$500,MID(P35,1,3)*1,UomConversion!$J$8:$J$500,1)))</f>
        <v/>
      </c>
      <c r="AA35" s="1230" t="str">
        <f t="shared" si="10"/>
        <v/>
      </c>
      <c r="AB35" s="1231" t="str">
        <f t="shared" si="11"/>
        <v/>
      </c>
      <c r="AC35" s="1232" t="str">
        <f t="shared" si="12"/>
        <v/>
      </c>
      <c r="AD35" s="1230" t="str">
        <f>IF(M35="","",VLOOKUP(I35,product_list,12,FALSE))</f>
        <v/>
      </c>
      <c r="AE35" s="1231" t="str">
        <f>IFERROR(IF(M35="","",IF(invoice_price_type_id=1,VLOOKUP(I35,product_list,13,FALSE),IF(invoice_price_type_id=2,VLOOKUP(I35,product_list,14,FALSE),IF(invoice_price_type_id=3,VLOOKUP(I35,product_list,15,FALSE),IF(invoice_price_type_id=4,VLOOKUP(I35,product_list,16,FALSE),IF(invoice_price_type_id=5,VLOOKUP(I35,product_list,12,FALSE),"")))))),"")</f>
        <v/>
      </c>
      <c r="AF35" s="1233" t="str">
        <f t="shared" si="13"/>
        <v/>
      </c>
      <c r="AG35" s="1230" t="str">
        <f>IF(I35="","",IF(ISNA(MATCH(I35,IF(invoice_location_id=1,'[1]1_inventory_totals'!$C$8:$C$10000,IF(invoice_location_id=2,'[1]2_inventory_totals'!$C$8:$C$10000,0)),0)),0,IF(AU35&gt;0,1,0)))</f>
        <v/>
      </c>
      <c r="AH35" s="1230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I35" s="1230" t="str">
        <f>IF(M35="","",IF(ISNA(MATCH(I35,'[1]1_group_totals'!$C$8:$C$10000)),0,IF(AV35&gt;0,1,0)))</f>
        <v/>
      </c>
      <c r="AJ35" s="1230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K35" s="1230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L35" s="1230" t="str">
        <f>IF(M35="","",SUMIFS('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M35" s="1230" t="str">
        <f>IF(M35="","",VLOOKUP(I35,product_list,11,FALSE))</f>
        <v/>
      </c>
      <c r="AN35" s="1230" t="str">
        <f>IF(OR(ISNA(MATCH(MID(AM35,1,3)*1,UomConversion!$D$8:$D$500,0)),M35=""),"",IF(AS35="","",AS35))</f>
        <v/>
      </c>
      <c r="AO35" s="1230" t="str">
        <f>IF(AND(AP35&gt;0,COUNTIFS(UomConversion!$D$8:$D$500,MID(AM35,1,3)*1,UomConversion!$J$8:$J$500,1)&gt;1),TEXT(AP35,"000")&amp;"."&amp;VLOOKUP(AP35,uom_list,4,FALSE),"")</f>
        <v/>
      </c>
      <c r="AP35" s="1230" t="str">
        <f t="shared" si="14"/>
        <v/>
      </c>
      <c r="AQ35" s="1230" t="str">
        <f t="shared" si="15"/>
        <v/>
      </c>
      <c r="AR35" s="204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S35" s="126" t="str">
        <f t="shared" si="16"/>
        <v/>
      </c>
      <c r="AT35" s="126" t="str" cm="1">
        <f t="array" ref="AT35">IF(M35="","",IF(ISNA(Slookup(MID(AM35,1,3)*1,UomConversion!$D$8:$J$500,2,UomConversion!$I$8:$I$500,1,UomConversion!$J$8:$J$500,1)),"",Slookup(MID(AM35,1,3)*1,UomConversion!$D$8:$J$500,2,UomConversion!$I$8:$I$500,1,UomConversion!$J$8:$J$500,1)))</f>
        <v/>
      </c>
      <c r="AU35" s="12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V35" s="143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W35" s="204" t="str">
        <f t="shared" si="17"/>
        <v/>
      </c>
      <c r="AX35" s="204" t="str">
        <f>IF(M35="","",SUMIFS($AW$8:AW35,$I$8:I35,I35))</f>
        <v/>
      </c>
      <c r="AY35" s="204" t="str">
        <f t="shared" si="18"/>
        <v/>
      </c>
    </row>
    <row r="36" spans="1:51" ht="27" customHeight="1">
      <c r="A36" s="765"/>
      <c r="B36" s="1352"/>
      <c r="C36" s="984"/>
      <c r="D36" s="984"/>
      <c r="E36" s="984"/>
      <c r="F36" s="1368"/>
      <c r="I36" s="426" t="str">
        <f t="shared" si="7"/>
        <v/>
      </c>
      <c r="J36" s="1327" t="str">
        <f t="shared" si="20"/>
        <v/>
      </c>
      <c r="K36" s="1320" t="str">
        <f t="shared" si="0"/>
        <v/>
      </c>
      <c r="L36" s="1321"/>
      <c r="M36" s="1311"/>
      <c r="N36" s="1322"/>
      <c r="O36" s="1322"/>
      <c r="P36" s="1311"/>
      <c r="Q36" s="1401"/>
      <c r="R36" s="1399"/>
      <c r="S36" s="1323" t="str">
        <f t="shared" si="1"/>
        <v/>
      </c>
      <c r="T36" s="1337"/>
      <c r="U36" s="1324" t="str">
        <f t="shared" si="8"/>
        <v/>
      </c>
      <c r="V36" s="1332" t="str">
        <f t="shared" si="2"/>
        <v/>
      </c>
      <c r="W36" s="1333"/>
      <c r="X36" s="1325" t="str">
        <f t="shared" si="3"/>
        <v/>
      </c>
      <c r="Y36" s="1326" t="str">
        <f t="shared" si="9"/>
        <v/>
      </c>
      <c r="Z36" s="1230" t="str" cm="1">
        <f t="array" ref="Z36">IF(M36="","",IF(P36=AM36,1,Slookup(MID(AM36,1,3)*1,UomConversion!$D$8:$J$500,5,UomConversion!$E$8:$E$500,MID(P36,1,3)*1,UomConversion!$J$8:$J$500,1)))</f>
        <v/>
      </c>
      <c r="AA36" s="1230" t="str">
        <f t="shared" si="10"/>
        <v/>
      </c>
      <c r="AB36" s="1231" t="str">
        <f t="shared" si="11"/>
        <v/>
      </c>
      <c r="AC36" s="1232" t="str">
        <f t="shared" si="12"/>
        <v/>
      </c>
      <c r="AD36" s="1230" t="str">
        <f>IF(M36="","",VLOOKUP(I36,product_list,12,FALSE))</f>
        <v/>
      </c>
      <c r="AE36" s="1231" t="str">
        <f>IFERROR(IF(M36="","",IF(invoice_price_type_id=1,VLOOKUP(I36,product_list,13,FALSE),IF(invoice_price_type_id=2,VLOOKUP(I36,product_list,14,FALSE),IF(invoice_price_type_id=3,VLOOKUP(I36,product_list,15,FALSE),IF(invoice_price_type_id=4,VLOOKUP(I36,product_list,16,FALSE),IF(invoice_price_type_id=5,VLOOKUP(I36,product_list,12,FALSE),"")))))),"")</f>
        <v/>
      </c>
      <c r="AF36" s="1233" t="str">
        <f t="shared" si="13"/>
        <v/>
      </c>
      <c r="AG36" s="1230" t="str">
        <f>IF(I36="","",IF(ISNA(MATCH(I36,IF(invoice_location_id=1,'[1]1_inventory_totals'!$C$8:$C$10000,IF(invoice_location_id=2,'[1]2_inventory_totals'!$C$8:$C$10000,0)),0)),0,IF(AU36&gt;0,1,0)))</f>
        <v/>
      </c>
      <c r="AH36" s="1230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I36" s="1230" t="str">
        <f>IF(M36="","",IF(ISNA(MATCH(I36,'[1]1_group_totals'!$C$8:$C$10000)),0,IF(AV36&gt;0,1,0)))</f>
        <v/>
      </c>
      <c r="AJ36" s="1230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K36" s="1230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L36" s="1230" t="str">
        <f>IF(M36="","",SUMIFS('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M36" s="1230" t="str">
        <f>IF(M36="","",VLOOKUP(I36,product_list,11,FALSE))</f>
        <v/>
      </c>
      <c r="AN36" s="1230" t="str">
        <f>IF(OR(ISNA(MATCH(MID(AM36,1,3)*1,UomConversion!$D$8:$D$500,0)),M36=""),"",IF(AS36="","",AS36))</f>
        <v/>
      </c>
      <c r="AO36" s="1230" t="str">
        <f>IF(AND(AP36&gt;0,COUNTIFS(UomConversion!$D$8:$D$500,MID(AM36,1,3)*1,UomConversion!$J$8:$J$500,1)&gt;1),TEXT(AP36,"000")&amp;"."&amp;VLOOKUP(AP36,uom_list,4,FALSE),"")</f>
        <v/>
      </c>
      <c r="AP36" s="1230" t="str">
        <f t="shared" si="14"/>
        <v/>
      </c>
      <c r="AQ36" s="1230" t="str">
        <f t="shared" si="15"/>
        <v/>
      </c>
      <c r="AR36" s="204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S36" s="126" t="str">
        <f t="shared" si="16"/>
        <v/>
      </c>
      <c r="AT36" s="126" t="str" cm="1">
        <f t="array" ref="AT36">IF(M36="","",IF(ISNA(Slookup(MID(AM36,1,3)*1,UomConversion!$D$8:$J$500,2,UomConversion!$I$8:$I$500,1,UomConversion!$J$8:$J$500,1)),"",Slookup(MID(AM36,1,3)*1,UomConversion!$D$8:$J$500,2,UomConversion!$I$8:$I$500,1,UomConversion!$J$8:$J$500,1)))</f>
        <v/>
      </c>
      <c r="AU36" s="12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V36" s="143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W36" s="204" t="str">
        <f t="shared" si="17"/>
        <v/>
      </c>
      <c r="AX36" s="204" t="str">
        <f>IF(M36="","",SUMIFS($AW$8:AW36,$I$8:I36,I36))</f>
        <v/>
      </c>
      <c r="AY36" s="204" t="str">
        <f t="shared" si="18"/>
        <v/>
      </c>
    </row>
    <row r="37" spans="1:51" ht="27" customHeight="1">
      <c r="A37" s="765"/>
      <c r="B37" s="1352"/>
      <c r="C37" s="984"/>
      <c r="D37" s="984"/>
      <c r="E37" s="984"/>
      <c r="F37" s="1368"/>
      <c r="I37" s="426" t="str">
        <f t="shared" si="7"/>
        <v/>
      </c>
      <c r="J37" s="1327" t="str">
        <f t="shared" si="20"/>
        <v/>
      </c>
      <c r="K37" s="1320" t="str">
        <f t="shared" si="0"/>
        <v/>
      </c>
      <c r="L37" s="1321"/>
      <c r="M37" s="1311"/>
      <c r="N37" s="1322"/>
      <c r="O37" s="1322"/>
      <c r="P37" s="1311"/>
      <c r="Q37" s="1401"/>
      <c r="R37" s="1399"/>
      <c r="S37" s="1323" t="str">
        <f t="shared" si="1"/>
        <v/>
      </c>
      <c r="T37" s="1337"/>
      <c r="U37" s="1324" t="str">
        <f t="shared" si="8"/>
        <v/>
      </c>
      <c r="V37" s="1332" t="str">
        <f t="shared" si="2"/>
        <v/>
      </c>
      <c r="W37" s="1333"/>
      <c r="X37" s="1325" t="str">
        <f t="shared" si="3"/>
        <v/>
      </c>
      <c r="Y37" s="1326" t="str">
        <f t="shared" si="9"/>
        <v/>
      </c>
      <c r="Z37" s="1230" t="str" cm="1">
        <f t="array" ref="Z37">IF(M37="","",IF(P37=AM37,1,Slookup(MID(AM37,1,3)*1,UomConversion!$D$8:$J$500,5,UomConversion!$E$8:$E$500,MID(P37,1,3)*1,UomConversion!$J$8:$J$500,1)))</f>
        <v/>
      </c>
      <c r="AA37" s="1230" t="str">
        <f t="shared" si="10"/>
        <v/>
      </c>
      <c r="AB37" s="1231" t="str">
        <f t="shared" si="11"/>
        <v/>
      </c>
      <c r="AC37" s="1232" t="str">
        <f t="shared" si="12"/>
        <v/>
      </c>
      <c r="AD37" s="1230" t="str">
        <f>IF(M37="","",VLOOKUP(I37,product_list,12,FALSE))</f>
        <v/>
      </c>
      <c r="AE37" s="1231" t="str">
        <f>IFERROR(IF(M37="","",IF(invoice_price_type_id=1,VLOOKUP(I37,product_list,13,FALSE),IF(invoice_price_type_id=2,VLOOKUP(I37,product_list,14,FALSE),IF(invoice_price_type_id=3,VLOOKUP(I37,product_list,15,FALSE),IF(invoice_price_type_id=4,VLOOKUP(I37,product_list,16,FALSE),IF(invoice_price_type_id=5,VLOOKUP(I37,product_list,12,FALSE),"")))))),"")</f>
        <v/>
      </c>
      <c r="AF37" s="1233" t="str">
        <f t="shared" si="13"/>
        <v/>
      </c>
      <c r="AG37" s="1230" t="str">
        <f>IF(I37="","",IF(ISNA(MATCH(I37,IF(invoice_location_id=1,'[1]1_inventory_totals'!$C$8:$C$10000,IF(invoice_location_id=2,'[1]2_inventory_totals'!$C$8:$C$10000,0)),0)),0,IF(AU37&gt;0,1,0)))</f>
        <v/>
      </c>
      <c r="AH37" s="1230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I37" s="1230" t="str">
        <f>IF(M37="","",IF(ISNA(MATCH(I37,'[1]1_group_totals'!$C$8:$C$10000)),0,IF(AV37&gt;0,1,0)))</f>
        <v/>
      </c>
      <c r="AJ37" s="1230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K37" s="1230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L37" s="1230" t="str">
        <f>IF(M37="","",SUMIFS('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M37" s="1230" t="str">
        <f>IF(M37="","",VLOOKUP(I37,product_list,11,FALSE))</f>
        <v/>
      </c>
      <c r="AN37" s="1230" t="str">
        <f>IF(OR(ISNA(MATCH(MID(AM37,1,3)*1,UomConversion!$D$8:$D$500,0)),M37=""),"",IF(AS37="","",AS37))</f>
        <v/>
      </c>
      <c r="AO37" s="1230" t="str">
        <f>IF(AND(AP37&gt;0,COUNTIFS(UomConversion!$D$8:$D$500,MID(AM37,1,3)*1,UomConversion!$J$8:$J$500,1)&gt;1),TEXT(AP37,"000")&amp;"."&amp;VLOOKUP(AP37,uom_list,4,FALSE),"")</f>
        <v/>
      </c>
      <c r="AP37" s="1230" t="str">
        <f t="shared" si="14"/>
        <v/>
      </c>
      <c r="AQ37" s="1230" t="str">
        <f t="shared" si="15"/>
        <v/>
      </c>
      <c r="AR37" s="204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S37" s="126" t="str">
        <f t="shared" si="16"/>
        <v/>
      </c>
      <c r="AT37" s="126" t="str" cm="1">
        <f t="array" ref="AT37">IF(M37="","",IF(ISNA(Slookup(MID(AM37,1,3)*1,UomConversion!$D$8:$J$500,2,UomConversion!$I$8:$I$500,1,UomConversion!$J$8:$J$500,1)),"",Slookup(MID(AM37,1,3)*1,UomConversion!$D$8:$J$500,2,UomConversion!$I$8:$I$500,1,UomConversion!$J$8:$J$500,1)))</f>
        <v/>
      </c>
      <c r="AU37" s="12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V37" s="143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W37" s="204" t="str">
        <f t="shared" si="17"/>
        <v/>
      </c>
      <c r="AX37" s="204" t="str">
        <f>IF(M37="","",SUMIFS($AW$8:AW37,$I$8:I37,I37))</f>
        <v/>
      </c>
      <c r="AY37" s="204" t="str">
        <f t="shared" si="18"/>
        <v/>
      </c>
    </row>
    <row r="38" spans="1:51" ht="27" customHeight="1">
      <c r="A38" s="765"/>
      <c r="B38" s="1352"/>
      <c r="C38" s="984"/>
      <c r="D38" s="984"/>
      <c r="E38" s="984"/>
      <c r="F38" s="1368"/>
      <c r="I38" s="426" t="str">
        <f t="shared" si="7"/>
        <v/>
      </c>
      <c r="J38" s="1327" t="str">
        <f t="shared" si="20"/>
        <v/>
      </c>
      <c r="K38" s="1320" t="str">
        <f t="shared" si="0"/>
        <v/>
      </c>
      <c r="L38" s="1321"/>
      <c r="M38" s="1311"/>
      <c r="N38" s="1322"/>
      <c r="O38" s="1322"/>
      <c r="P38" s="1311"/>
      <c r="Q38" s="1401"/>
      <c r="R38" s="1399"/>
      <c r="S38" s="1323" t="str">
        <f t="shared" si="1"/>
        <v/>
      </c>
      <c r="T38" s="1337"/>
      <c r="U38" s="1324" t="str">
        <f t="shared" si="8"/>
        <v/>
      </c>
      <c r="V38" s="1332" t="str">
        <f t="shared" si="2"/>
        <v/>
      </c>
      <c r="W38" s="1333"/>
      <c r="X38" s="1325" t="str">
        <f t="shared" si="3"/>
        <v/>
      </c>
      <c r="Y38" s="1326" t="str">
        <f t="shared" si="9"/>
        <v/>
      </c>
      <c r="Z38" s="1230" t="str" cm="1">
        <f t="array" ref="Z38">IF(M38="","",IF(P38=AM38,1,Slookup(MID(AM38,1,3)*1,UomConversion!$D$8:$J$500,5,UomConversion!$E$8:$E$500,MID(P38,1,3)*1,UomConversion!$J$8:$J$500,1)))</f>
        <v/>
      </c>
      <c r="AA38" s="1230" t="str">
        <f t="shared" si="10"/>
        <v/>
      </c>
      <c r="AB38" s="1231" t="str">
        <f t="shared" si="11"/>
        <v/>
      </c>
      <c r="AC38" s="1232" t="str">
        <f t="shared" si="12"/>
        <v/>
      </c>
      <c r="AD38" s="1230" t="str">
        <f>IF(M38="","",VLOOKUP(I38,product_list,12,FALSE))</f>
        <v/>
      </c>
      <c r="AE38" s="1231" t="str">
        <f>IFERROR(IF(M38="","",IF(invoice_price_type_id=1,VLOOKUP(I38,product_list,13,FALSE),IF(invoice_price_type_id=2,VLOOKUP(I38,product_list,14,FALSE),IF(invoice_price_type_id=3,VLOOKUP(I38,product_list,15,FALSE),IF(invoice_price_type_id=4,VLOOKUP(I38,product_list,16,FALSE),IF(invoice_price_type_id=5,VLOOKUP(I38,product_list,12,FALSE),"")))))),"")</f>
        <v/>
      </c>
      <c r="AF38" s="1233" t="str">
        <f t="shared" si="13"/>
        <v/>
      </c>
      <c r="AG38" s="1230" t="str">
        <f>IF(I38="","",IF(ISNA(MATCH(I38,IF(invoice_location_id=1,'[1]1_inventory_totals'!$C$8:$C$10000,IF(invoice_location_id=2,'[1]2_inventory_totals'!$C$8:$C$10000,0)),0)),0,IF(AU38&gt;0,1,0)))</f>
        <v/>
      </c>
      <c r="AH38" s="1230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I38" s="1230" t="str">
        <f>IF(M38="","",IF(ISNA(MATCH(I38,'[1]1_group_totals'!$C$8:$C$10000)),0,IF(AV38&gt;0,1,0)))</f>
        <v/>
      </c>
      <c r="AJ38" s="1230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K38" s="1230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L38" s="1230" t="str">
        <f>IF(M38="","",SUMIFS('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M38" s="1230" t="str">
        <f>IF(M38="","",VLOOKUP(I38,product_list,11,FALSE))</f>
        <v/>
      </c>
      <c r="AN38" s="1230" t="str">
        <f>IF(OR(ISNA(MATCH(MID(AM38,1,3)*1,UomConversion!$D$8:$D$500,0)),M38=""),"",IF(AS38="","",AS38))</f>
        <v/>
      </c>
      <c r="AO38" s="1230" t="str">
        <f>IF(AND(AP38&gt;0,COUNTIFS(UomConversion!$D$8:$D$500,MID(AM38,1,3)*1,UomConversion!$J$8:$J$500,1)&gt;1),TEXT(AP38,"000")&amp;"."&amp;VLOOKUP(AP38,uom_list,4,FALSE),"")</f>
        <v/>
      </c>
      <c r="AP38" s="1230" t="str">
        <f t="shared" si="14"/>
        <v/>
      </c>
      <c r="AQ38" s="1230" t="str">
        <f t="shared" si="15"/>
        <v/>
      </c>
      <c r="AR38" s="204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S38" s="126" t="str">
        <f t="shared" si="16"/>
        <v/>
      </c>
      <c r="AT38" s="126" t="str" cm="1">
        <f t="array" ref="AT38">IF(M38="","",IF(ISNA(Slookup(MID(AM38,1,3)*1,UomConversion!$D$8:$J$500,2,UomConversion!$I$8:$I$500,1,UomConversion!$J$8:$J$500,1)),"",Slookup(MID(AM38,1,3)*1,UomConversion!$D$8:$J$500,2,UomConversion!$I$8:$I$500,1,UomConversion!$J$8:$J$500,1)))</f>
        <v/>
      </c>
      <c r="AU38" s="12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V38" s="143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W38" s="204" t="str">
        <f t="shared" si="17"/>
        <v/>
      </c>
      <c r="AX38" s="204" t="str">
        <f>IF(M38="","",SUMIFS($AW$8:AW38,$I$8:I38,I38))</f>
        <v/>
      </c>
      <c r="AY38" s="204" t="str">
        <f t="shared" si="18"/>
        <v/>
      </c>
    </row>
    <row r="39" spans="1:51" ht="27" customHeight="1">
      <c r="A39" s="765"/>
      <c r="B39" s="1352"/>
      <c r="C39" s="984"/>
      <c r="D39" s="984"/>
      <c r="E39" s="984"/>
      <c r="F39" s="1368"/>
      <c r="I39" s="426" t="str">
        <f t="shared" si="7"/>
        <v/>
      </c>
      <c r="J39" s="1327" t="str">
        <f t="shared" si="20"/>
        <v/>
      </c>
      <c r="K39" s="1320" t="str">
        <f t="shared" si="0"/>
        <v/>
      </c>
      <c r="L39" s="1321"/>
      <c r="M39" s="1311"/>
      <c r="N39" s="1322"/>
      <c r="O39" s="1322"/>
      <c r="P39" s="1311"/>
      <c r="Q39" s="1401"/>
      <c r="R39" s="1399"/>
      <c r="S39" s="1323" t="str">
        <f t="shared" si="1"/>
        <v/>
      </c>
      <c r="T39" s="1337"/>
      <c r="U39" s="1324" t="str">
        <f t="shared" si="8"/>
        <v/>
      </c>
      <c r="V39" s="1332" t="str">
        <f t="shared" si="2"/>
        <v/>
      </c>
      <c r="W39" s="1333"/>
      <c r="X39" s="1325" t="str">
        <f t="shared" si="3"/>
        <v/>
      </c>
      <c r="Y39" s="1326" t="str">
        <f t="shared" si="9"/>
        <v/>
      </c>
      <c r="Z39" s="1230" t="str" cm="1">
        <f t="array" ref="Z39">IF(M39="","",IF(P39=AM39,1,Slookup(MID(AM39,1,3)*1,UomConversion!$D$8:$J$500,5,UomConversion!$E$8:$E$500,MID(P39,1,3)*1,UomConversion!$J$8:$J$500,1)))</f>
        <v/>
      </c>
      <c r="AA39" s="1230" t="str">
        <f t="shared" si="10"/>
        <v/>
      </c>
      <c r="AB39" s="1231" t="str">
        <f t="shared" si="11"/>
        <v/>
      </c>
      <c r="AC39" s="1232" t="str">
        <f t="shared" si="12"/>
        <v/>
      </c>
      <c r="AD39" s="1230" t="str">
        <f>IF(M39="","",VLOOKUP(I39,product_list,12,FALSE))</f>
        <v/>
      </c>
      <c r="AE39" s="1231" t="str">
        <f>IFERROR(IF(M39="","",IF(invoice_price_type_id=1,VLOOKUP(I39,product_list,13,FALSE),IF(invoice_price_type_id=2,VLOOKUP(I39,product_list,14,FALSE),IF(invoice_price_type_id=3,VLOOKUP(I39,product_list,15,FALSE),IF(invoice_price_type_id=4,VLOOKUP(I39,product_list,16,FALSE),IF(invoice_price_type_id=5,VLOOKUP(I39,product_list,12,FALSE),"")))))),"")</f>
        <v/>
      </c>
      <c r="AF39" s="1233" t="str">
        <f t="shared" si="13"/>
        <v/>
      </c>
      <c r="AG39" s="1230" t="str">
        <f>IF(I39="","",IF(ISNA(MATCH(I39,IF(invoice_location_id=1,'[1]1_inventory_totals'!$C$8:$C$10000,IF(invoice_location_id=2,'[1]2_inventory_totals'!$C$8:$C$10000,0)),0)),0,IF(AU39&gt;0,1,0)))</f>
        <v/>
      </c>
      <c r="AH39" s="1230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I39" s="1230" t="str">
        <f>IF(M39="","",IF(ISNA(MATCH(I39,'[1]1_group_totals'!$C$8:$C$10000)),0,IF(AV39&gt;0,1,0)))</f>
        <v/>
      </c>
      <c r="AJ39" s="1230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K39" s="1230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L39" s="1230" t="str">
        <f>IF(M39="","",SUMIFS('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M39" s="1230" t="str">
        <f>IF(M39="","",VLOOKUP(I39,product_list,11,FALSE))</f>
        <v/>
      </c>
      <c r="AN39" s="1230" t="str">
        <f>IF(OR(ISNA(MATCH(MID(AM39,1,3)*1,UomConversion!$D$8:$D$500,0)),M39=""),"",IF(AS39="","",AS39))</f>
        <v/>
      </c>
      <c r="AO39" s="1230" t="str">
        <f>IF(AND(AP39&gt;0,COUNTIFS(UomConversion!$D$8:$D$500,MID(AM39,1,3)*1,UomConversion!$J$8:$J$500,1)&gt;1),TEXT(AP39,"000")&amp;"."&amp;VLOOKUP(AP39,uom_list,4,FALSE),"")</f>
        <v/>
      </c>
      <c r="AP39" s="1230" t="str">
        <f t="shared" si="14"/>
        <v/>
      </c>
      <c r="AQ39" s="1230" t="str">
        <f t="shared" si="15"/>
        <v/>
      </c>
      <c r="AR39" s="204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S39" s="126" t="str">
        <f t="shared" si="16"/>
        <v/>
      </c>
      <c r="AT39" s="126" t="str" cm="1">
        <f t="array" ref="AT39">IF(M39="","",IF(ISNA(Slookup(MID(AM39,1,3)*1,UomConversion!$D$8:$J$500,2,UomConversion!$I$8:$I$500,1,UomConversion!$J$8:$J$500,1)),"",Slookup(MID(AM39,1,3)*1,UomConversion!$D$8:$J$500,2,UomConversion!$I$8:$I$500,1,UomConversion!$J$8:$J$500,1)))</f>
        <v/>
      </c>
      <c r="AU39" s="12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V39" s="143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W39" s="204" t="str">
        <f t="shared" si="17"/>
        <v/>
      </c>
      <c r="AX39" s="204" t="str">
        <f>IF(M39="","",SUMIFS($AW$8:AW39,$I$8:I39,I39))</f>
        <v/>
      </c>
      <c r="AY39" s="204" t="str">
        <f t="shared" si="18"/>
        <v/>
      </c>
    </row>
    <row r="40" spans="1:51" ht="27" customHeight="1">
      <c r="A40" s="765"/>
      <c r="B40" s="1352"/>
      <c r="C40" s="984"/>
      <c r="D40" s="984"/>
      <c r="E40" s="984"/>
      <c r="F40" s="1368"/>
      <c r="I40" s="426" t="str">
        <f t="shared" si="7"/>
        <v/>
      </c>
      <c r="J40" s="1327" t="str">
        <f t="shared" si="20"/>
        <v/>
      </c>
      <c r="K40" s="1320" t="str">
        <f t="shared" ref="K40:K71" si="21">IF(M40="","",VLOOKUP(I40,product_list,2,FALSE))</f>
        <v/>
      </c>
      <c r="L40" s="1321"/>
      <c r="M40" s="1311"/>
      <c r="N40" s="1322"/>
      <c r="O40" s="1322"/>
      <c r="P40" s="1311"/>
      <c r="Q40" s="1401"/>
      <c r="R40" s="1399"/>
      <c r="S40" s="1323" t="str">
        <f t="shared" ref="S40:S71" si="22">IF(M40="","",invoice_currency_symbol)</f>
        <v/>
      </c>
      <c r="T40" s="1337"/>
      <c r="U40" s="1324" t="str">
        <f t="shared" si="8"/>
        <v/>
      </c>
      <c r="V40" s="1332" t="str">
        <f t="shared" ref="V40:V71" si="23">IF(W40=0,"",invoice_currency_symbol)</f>
        <v/>
      </c>
      <c r="W40" s="1333"/>
      <c r="X40" s="1325" t="str">
        <f t="shared" ref="X40:X71" si="24">IF(M40="","",invoice_currency_symbol)</f>
        <v/>
      </c>
      <c r="Y40" s="1326" t="str">
        <f t="shared" si="9"/>
        <v/>
      </c>
      <c r="Z40" s="1230" t="str" cm="1">
        <f t="array" ref="Z40">IF(M40="","",IF(P40=AM40,1,Slookup(MID(AM40,1,3)*1,UomConversion!$D$8:$J$500,5,UomConversion!$E$8:$E$500,MID(P40,1,3)*1,UomConversion!$J$8:$J$500,1)))</f>
        <v/>
      </c>
      <c r="AA40" s="1230" t="str">
        <f t="shared" si="10"/>
        <v/>
      </c>
      <c r="AB40" s="1231" t="str">
        <f t="shared" si="11"/>
        <v/>
      </c>
      <c r="AC40" s="1232" t="str">
        <f t="shared" si="12"/>
        <v/>
      </c>
      <c r="AD40" s="1230" t="str">
        <f>IF(M40="","",VLOOKUP(I40,product_list,12,FALSE))</f>
        <v/>
      </c>
      <c r="AE40" s="1231" t="str">
        <f>IFERROR(IF(M40="","",IF(invoice_price_type_id=1,VLOOKUP(I40,product_list,13,FALSE),IF(invoice_price_type_id=2,VLOOKUP(I40,product_list,14,FALSE),IF(invoice_price_type_id=3,VLOOKUP(I40,product_list,15,FALSE),IF(invoice_price_type_id=4,VLOOKUP(I40,product_list,16,FALSE),IF(invoice_price_type_id=5,VLOOKUP(I40,product_list,12,FALSE),"")))))),"")</f>
        <v/>
      </c>
      <c r="AF40" s="1233" t="str">
        <f t="shared" si="13"/>
        <v/>
      </c>
      <c r="AG40" s="1230" t="str">
        <f>IF(I40="","",IF(ISNA(MATCH(I40,IF(invoice_location_id=1,'[1]1_inventory_totals'!$C$8:$C$10000,IF(invoice_location_id=2,'[1]2_inventory_totals'!$C$8:$C$10000,0)),0)),0,IF(AU40&gt;0,1,0)))</f>
        <v/>
      </c>
      <c r="AH40" s="1230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I40" s="1230" t="str">
        <f>IF(M40="","",IF(ISNA(MATCH(I40,'[1]1_group_totals'!$C$8:$C$10000)),0,IF(AV40&gt;0,1,0)))</f>
        <v/>
      </c>
      <c r="AJ40" s="1230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K40" s="1230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L40" s="1230" t="str">
        <f>IF(M40="","",SUMIFS('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M40" s="1230" t="str">
        <f>IF(M40="","",VLOOKUP(I40,product_list,11,FALSE))</f>
        <v/>
      </c>
      <c r="AN40" s="1230" t="str">
        <f>IF(OR(ISNA(MATCH(MID(AM40,1,3)*1,UomConversion!$D$8:$D$500,0)),M40=""),"",IF(AS40="","",AS40))</f>
        <v/>
      </c>
      <c r="AO40" s="1230" t="str">
        <f>IF(AND(AP40&gt;0,COUNTIFS(UomConversion!$D$8:$D$500,MID(AM40,1,3)*1,UomConversion!$J$8:$J$500,1)&gt;1),TEXT(AP40,"000")&amp;"."&amp;VLOOKUP(AP40,uom_list,4,FALSE),"")</f>
        <v/>
      </c>
      <c r="AP40" s="1230" t="str">
        <f t="shared" si="14"/>
        <v/>
      </c>
      <c r="AQ40" s="1230" t="str">
        <f t="shared" si="15"/>
        <v/>
      </c>
      <c r="AR40" s="204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S40" s="126" t="str">
        <f t="shared" si="16"/>
        <v/>
      </c>
      <c r="AT40" s="126" t="str" cm="1">
        <f t="array" ref="AT40">IF(M40="","",IF(ISNA(Slookup(MID(AM40,1,3)*1,UomConversion!$D$8:$J$500,2,UomConversion!$I$8:$I$500,1,UomConversion!$J$8:$J$500,1)),"",Slookup(MID(AM40,1,3)*1,UomConversion!$D$8:$J$500,2,UomConversion!$I$8:$I$500,1,UomConversion!$J$8:$J$500,1)))</f>
        <v/>
      </c>
      <c r="AU40" s="12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V40" s="143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W40" s="204" t="str">
        <f t="shared" si="17"/>
        <v/>
      </c>
      <c r="AX40" s="204" t="str">
        <f>IF(M40="","",SUMIFS($AW$8:AW40,$I$8:I40,I40))</f>
        <v/>
      </c>
      <c r="AY40" s="204" t="str">
        <f t="shared" si="18"/>
        <v/>
      </c>
    </row>
    <row r="41" spans="1:51" ht="27" customHeight="1">
      <c r="A41" s="765"/>
      <c r="B41" s="1352"/>
      <c r="C41" s="984"/>
      <c r="D41" s="984"/>
      <c r="E41" s="984"/>
      <c r="F41" s="1368"/>
      <c r="I41" s="426" t="str">
        <f t="shared" si="7"/>
        <v/>
      </c>
      <c r="J41" s="1327" t="str">
        <f t="shared" si="20"/>
        <v/>
      </c>
      <c r="K41" s="1320" t="str">
        <f t="shared" si="21"/>
        <v/>
      </c>
      <c r="L41" s="1321"/>
      <c r="M41" s="1311"/>
      <c r="N41" s="1322"/>
      <c r="O41" s="1322"/>
      <c r="P41" s="1311"/>
      <c r="Q41" s="1401"/>
      <c r="R41" s="1399"/>
      <c r="S41" s="1323" t="str">
        <f t="shared" si="22"/>
        <v/>
      </c>
      <c r="T41" s="1337"/>
      <c r="U41" s="1324" t="str">
        <f t="shared" si="8"/>
        <v/>
      </c>
      <c r="V41" s="1332" t="str">
        <f t="shared" si="23"/>
        <v/>
      </c>
      <c r="W41" s="1333"/>
      <c r="X41" s="1325" t="str">
        <f t="shared" si="24"/>
        <v/>
      </c>
      <c r="Y41" s="1326" t="str">
        <f t="shared" si="9"/>
        <v/>
      </c>
      <c r="Z41" s="1230" t="str" cm="1">
        <f t="array" ref="Z41">IF(M41="","",IF(P41=AM41,1,Slookup(MID(AM41,1,3)*1,UomConversion!$D$8:$J$500,5,UomConversion!$E$8:$E$500,MID(P41,1,3)*1,UomConversion!$J$8:$J$500,1)))</f>
        <v/>
      </c>
      <c r="AA41" s="1230" t="str">
        <f t="shared" si="10"/>
        <v/>
      </c>
      <c r="AB41" s="1231" t="str">
        <f t="shared" si="11"/>
        <v/>
      </c>
      <c r="AC41" s="1232" t="str">
        <f t="shared" si="12"/>
        <v/>
      </c>
      <c r="AD41" s="1230" t="str">
        <f>IF(M41="","",VLOOKUP(I41,product_list,12,FALSE))</f>
        <v/>
      </c>
      <c r="AE41" s="1231" t="str">
        <f>IFERROR(IF(M41="","",IF(invoice_price_type_id=1,VLOOKUP(I41,product_list,13,FALSE),IF(invoice_price_type_id=2,VLOOKUP(I41,product_list,14,FALSE),IF(invoice_price_type_id=3,VLOOKUP(I41,product_list,15,FALSE),IF(invoice_price_type_id=4,VLOOKUP(I41,product_list,16,FALSE),IF(invoice_price_type_id=5,VLOOKUP(I41,product_list,12,FALSE),"")))))),"")</f>
        <v/>
      </c>
      <c r="AF41" s="1233" t="str">
        <f t="shared" si="13"/>
        <v/>
      </c>
      <c r="AG41" s="1230" t="str">
        <f>IF(I41="","",IF(ISNA(MATCH(I41,IF(invoice_location_id=1,'[1]1_inventory_totals'!$C$8:$C$10000,IF(invoice_location_id=2,'[1]2_inventory_totals'!$C$8:$C$10000,0)),0)),0,IF(AU41&gt;0,1,0)))</f>
        <v/>
      </c>
      <c r="AH41" s="1230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I41" s="1230" t="str">
        <f>IF(M41="","",IF(ISNA(MATCH(I41,'[1]1_group_totals'!$C$8:$C$10000)),0,IF(AV41&gt;0,1,0)))</f>
        <v/>
      </c>
      <c r="AJ41" s="1230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K41" s="1230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L41" s="1230" t="str">
        <f>IF(M41="","",SUMIFS('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M41" s="1230" t="str">
        <f>IF(M41="","",VLOOKUP(I41,product_list,11,FALSE))</f>
        <v/>
      </c>
      <c r="AN41" s="1230" t="str">
        <f>IF(OR(ISNA(MATCH(MID(AM41,1,3)*1,UomConversion!$D$8:$D$500,0)),M41=""),"",IF(AS41="","",AS41))</f>
        <v/>
      </c>
      <c r="AO41" s="1230" t="str">
        <f>IF(AND(AP41&gt;0,COUNTIFS(UomConversion!$D$8:$D$500,MID(AM41,1,3)*1,UomConversion!$J$8:$J$500,1)&gt;1),TEXT(AP41,"000")&amp;"."&amp;VLOOKUP(AP41,uom_list,4,FALSE),"")</f>
        <v/>
      </c>
      <c r="AP41" s="1230" t="str">
        <f t="shared" si="14"/>
        <v/>
      </c>
      <c r="AQ41" s="1230" t="str">
        <f t="shared" si="15"/>
        <v/>
      </c>
      <c r="AR41" s="204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S41" s="126" t="str">
        <f t="shared" si="16"/>
        <v/>
      </c>
      <c r="AT41" s="126" t="str" cm="1">
        <f t="array" ref="AT41">IF(M41="","",IF(ISNA(Slookup(MID(AM41,1,3)*1,UomConversion!$D$8:$J$500,2,UomConversion!$I$8:$I$500,1,UomConversion!$J$8:$J$500,1)),"",Slookup(MID(AM41,1,3)*1,UomConversion!$D$8:$J$500,2,UomConversion!$I$8:$I$500,1,UomConversion!$J$8:$J$500,1)))</f>
        <v/>
      </c>
      <c r="AU41" s="12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V41" s="143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W41" s="204" t="str">
        <f t="shared" si="17"/>
        <v/>
      </c>
      <c r="AX41" s="204" t="str">
        <f>IF(M41="","",SUMIFS($AW$8:AW41,$I$8:I41,I41))</f>
        <v/>
      </c>
      <c r="AY41" s="204" t="str">
        <f t="shared" si="18"/>
        <v/>
      </c>
    </row>
    <row r="42" spans="1:51" ht="27" customHeight="1">
      <c r="A42" s="765"/>
      <c r="B42" s="1352"/>
      <c r="C42" s="984"/>
      <c r="D42" s="984"/>
      <c r="E42" s="984"/>
      <c r="F42" s="1368"/>
      <c r="I42" s="426" t="str">
        <f t="shared" si="7"/>
        <v/>
      </c>
      <c r="J42" s="1327" t="str">
        <f t="shared" si="20"/>
        <v/>
      </c>
      <c r="K42" s="1320" t="str">
        <f t="shared" si="21"/>
        <v/>
      </c>
      <c r="L42" s="1321"/>
      <c r="M42" s="1311"/>
      <c r="N42" s="1322"/>
      <c r="O42" s="1322"/>
      <c r="P42" s="1311"/>
      <c r="Q42" s="1401"/>
      <c r="R42" s="1399"/>
      <c r="S42" s="1323" t="str">
        <f t="shared" si="22"/>
        <v/>
      </c>
      <c r="T42" s="1337"/>
      <c r="U42" s="1324" t="str">
        <f t="shared" si="8"/>
        <v/>
      </c>
      <c r="V42" s="1332" t="str">
        <f t="shared" si="23"/>
        <v/>
      </c>
      <c r="W42" s="1333"/>
      <c r="X42" s="1325" t="str">
        <f t="shared" si="24"/>
        <v/>
      </c>
      <c r="Y42" s="1326" t="str">
        <f t="shared" si="9"/>
        <v/>
      </c>
      <c r="Z42" s="1230" t="str" cm="1">
        <f t="array" ref="Z42">IF(M42="","",IF(P42=AM42,1,Slookup(MID(AM42,1,3)*1,UomConversion!$D$8:$J$500,5,UomConversion!$E$8:$E$500,MID(P42,1,3)*1,UomConversion!$J$8:$J$500,1)))</f>
        <v/>
      </c>
      <c r="AA42" s="1230" t="str">
        <f t="shared" si="10"/>
        <v/>
      </c>
      <c r="AB42" s="1231" t="str">
        <f t="shared" si="11"/>
        <v/>
      </c>
      <c r="AC42" s="1232" t="str">
        <f t="shared" si="12"/>
        <v/>
      </c>
      <c r="AD42" s="1230" t="str">
        <f>IF(M42="","",VLOOKUP(I42,product_list,12,FALSE))</f>
        <v/>
      </c>
      <c r="AE42" s="1231" t="str">
        <f>IFERROR(IF(M42="","",IF(invoice_price_type_id=1,VLOOKUP(I42,product_list,13,FALSE),IF(invoice_price_type_id=2,VLOOKUP(I42,product_list,14,FALSE),IF(invoice_price_type_id=3,VLOOKUP(I42,product_list,15,FALSE),IF(invoice_price_type_id=4,VLOOKUP(I42,product_list,16,FALSE),IF(invoice_price_type_id=5,VLOOKUP(I42,product_list,12,FALSE),"")))))),"")</f>
        <v/>
      </c>
      <c r="AF42" s="1233" t="str">
        <f t="shared" si="13"/>
        <v/>
      </c>
      <c r="AG42" s="1230" t="str">
        <f>IF(I42="","",IF(ISNA(MATCH(I42,IF(invoice_location_id=1,'[1]1_inventory_totals'!$C$8:$C$10000,IF(invoice_location_id=2,'[1]2_inventory_totals'!$C$8:$C$10000,0)),0)),0,IF(AU42&gt;0,1,0)))</f>
        <v/>
      </c>
      <c r="AH42" s="1230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I42" s="1230" t="str">
        <f>IF(M42="","",IF(ISNA(MATCH(I42,'[1]1_group_totals'!$C$8:$C$10000)),0,IF(AV42&gt;0,1,0)))</f>
        <v/>
      </c>
      <c r="AJ42" s="1230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K42" s="1230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L42" s="1230" t="str">
        <f>IF(M42="","",SUMIFS('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M42" s="1230" t="str">
        <f>IF(M42="","",VLOOKUP(I42,product_list,11,FALSE))</f>
        <v/>
      </c>
      <c r="AN42" s="1230" t="str">
        <f>IF(OR(ISNA(MATCH(MID(AM42,1,3)*1,UomConversion!$D$8:$D$500,0)),M42=""),"",IF(AS42="","",AS42))</f>
        <v/>
      </c>
      <c r="AO42" s="1230" t="str">
        <f>IF(AND(AP42&gt;0,COUNTIFS(UomConversion!$D$8:$D$500,MID(AM42,1,3)*1,UomConversion!$J$8:$J$500,1)&gt;1),TEXT(AP42,"000")&amp;"."&amp;VLOOKUP(AP42,uom_list,4,FALSE),"")</f>
        <v/>
      </c>
      <c r="AP42" s="1230" t="str">
        <f t="shared" si="14"/>
        <v/>
      </c>
      <c r="AQ42" s="1230" t="str">
        <f t="shared" si="15"/>
        <v/>
      </c>
      <c r="AR42" s="204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S42" s="126" t="str">
        <f t="shared" si="16"/>
        <v/>
      </c>
      <c r="AT42" s="126" t="str" cm="1">
        <f t="array" ref="AT42">IF(M42="","",IF(ISNA(Slookup(MID(AM42,1,3)*1,UomConversion!$D$8:$J$500,2,UomConversion!$I$8:$I$500,1,UomConversion!$J$8:$J$500,1)),"",Slookup(MID(AM42,1,3)*1,UomConversion!$D$8:$J$500,2,UomConversion!$I$8:$I$500,1,UomConversion!$J$8:$J$500,1)))</f>
        <v/>
      </c>
      <c r="AU42" s="12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V42" s="143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W42" s="204" t="str">
        <f t="shared" si="17"/>
        <v/>
      </c>
      <c r="AX42" s="204" t="str">
        <f>IF(M42="","",SUMIFS($AW$8:AW42,$I$8:I42,I42))</f>
        <v/>
      </c>
      <c r="AY42" s="204" t="str">
        <f t="shared" si="18"/>
        <v/>
      </c>
    </row>
    <row r="43" spans="1:51" ht="27" customHeight="1">
      <c r="A43" s="765"/>
      <c r="B43" s="1352"/>
      <c r="C43" s="984"/>
      <c r="D43" s="984"/>
      <c r="E43" s="984"/>
      <c r="F43" s="1368"/>
      <c r="I43" s="426" t="str">
        <f t="shared" si="7"/>
        <v/>
      </c>
      <c r="J43" s="1327" t="str">
        <f t="shared" si="20"/>
        <v/>
      </c>
      <c r="K43" s="1320" t="str">
        <f t="shared" si="21"/>
        <v/>
      </c>
      <c r="L43" s="1321"/>
      <c r="M43" s="1311"/>
      <c r="N43" s="1322"/>
      <c r="O43" s="1322"/>
      <c r="P43" s="1311"/>
      <c r="Q43" s="1401"/>
      <c r="R43" s="1399"/>
      <c r="S43" s="1323" t="str">
        <f t="shared" si="22"/>
        <v/>
      </c>
      <c r="T43" s="1337"/>
      <c r="U43" s="1324" t="str">
        <f t="shared" si="8"/>
        <v/>
      </c>
      <c r="V43" s="1332" t="str">
        <f t="shared" si="23"/>
        <v/>
      </c>
      <c r="W43" s="1333"/>
      <c r="X43" s="1325" t="str">
        <f t="shared" si="24"/>
        <v/>
      </c>
      <c r="Y43" s="1326" t="str">
        <f t="shared" si="9"/>
        <v/>
      </c>
      <c r="Z43" s="1230" t="str" cm="1">
        <f t="array" ref="Z43">IF(M43="","",IF(P43=AM43,1,Slookup(MID(AM43,1,3)*1,UomConversion!$D$8:$J$500,5,UomConversion!$E$8:$E$500,MID(P43,1,3)*1,UomConversion!$J$8:$J$500,1)))</f>
        <v/>
      </c>
      <c r="AA43" s="1230" t="str">
        <f t="shared" si="10"/>
        <v/>
      </c>
      <c r="AB43" s="1231" t="str">
        <f t="shared" si="11"/>
        <v/>
      </c>
      <c r="AC43" s="1232" t="str">
        <f t="shared" si="12"/>
        <v/>
      </c>
      <c r="AD43" s="1230" t="str">
        <f>IF(M43="","",VLOOKUP(I43,product_list,12,FALSE))</f>
        <v/>
      </c>
      <c r="AE43" s="1231" t="str">
        <f>IFERROR(IF(M43="","",IF(invoice_price_type_id=1,VLOOKUP(I43,product_list,13,FALSE),IF(invoice_price_type_id=2,VLOOKUP(I43,product_list,14,FALSE),IF(invoice_price_type_id=3,VLOOKUP(I43,product_list,15,FALSE),IF(invoice_price_type_id=4,VLOOKUP(I43,product_list,16,FALSE),IF(invoice_price_type_id=5,VLOOKUP(I43,product_list,12,FALSE),"")))))),"")</f>
        <v/>
      </c>
      <c r="AF43" s="1233" t="str">
        <f t="shared" si="13"/>
        <v/>
      </c>
      <c r="AG43" s="1230" t="str">
        <f>IF(I43="","",IF(ISNA(MATCH(I43,IF(invoice_location_id=1,'[1]1_inventory_totals'!$C$8:$C$10000,IF(invoice_location_id=2,'[1]2_inventory_totals'!$C$8:$C$10000,0)),0)),0,IF(AU43&gt;0,1,0)))</f>
        <v/>
      </c>
      <c r="AH43" s="1230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I43" s="1230" t="str">
        <f>IF(M43="","",IF(ISNA(MATCH(I43,'[1]1_group_totals'!$C$8:$C$10000)),0,IF(AV43&gt;0,1,0)))</f>
        <v/>
      </c>
      <c r="AJ43" s="1230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K43" s="1230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L43" s="1230" t="str">
        <f>IF(M43="","",SUMIFS('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M43" s="1230" t="str">
        <f>IF(M43="","",VLOOKUP(I43,product_list,11,FALSE))</f>
        <v/>
      </c>
      <c r="AN43" s="1230" t="str">
        <f>IF(OR(ISNA(MATCH(MID(AM43,1,3)*1,UomConversion!$D$8:$D$500,0)),M43=""),"",IF(AS43="","",AS43))</f>
        <v/>
      </c>
      <c r="AO43" s="1230" t="str">
        <f>IF(AND(AP43&gt;0,COUNTIFS(UomConversion!$D$8:$D$500,MID(AM43,1,3)*1,UomConversion!$J$8:$J$500,1)&gt;1),TEXT(AP43,"000")&amp;"."&amp;VLOOKUP(AP43,uom_list,4,FALSE),"")</f>
        <v/>
      </c>
      <c r="AP43" s="1230" t="str">
        <f t="shared" si="14"/>
        <v/>
      </c>
      <c r="AQ43" s="1230" t="str">
        <f t="shared" si="15"/>
        <v/>
      </c>
      <c r="AR43" s="204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S43" s="126" t="str">
        <f t="shared" si="16"/>
        <v/>
      </c>
      <c r="AT43" s="126" t="str" cm="1">
        <f t="array" ref="AT43">IF(M43="","",IF(ISNA(Slookup(MID(AM43,1,3)*1,UomConversion!$D$8:$J$500,2,UomConversion!$I$8:$I$500,1,UomConversion!$J$8:$J$500,1)),"",Slookup(MID(AM43,1,3)*1,UomConversion!$D$8:$J$500,2,UomConversion!$I$8:$I$500,1,UomConversion!$J$8:$J$500,1)))</f>
        <v/>
      </c>
      <c r="AU43" s="12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V43" s="143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W43" s="204" t="str">
        <f t="shared" si="17"/>
        <v/>
      </c>
      <c r="AX43" s="204" t="str">
        <f>IF(M43="","",SUMIFS($AW$8:AW43,$I$8:I43,I43))</f>
        <v/>
      </c>
      <c r="AY43" s="204" t="str">
        <f t="shared" si="18"/>
        <v/>
      </c>
    </row>
    <row r="44" spans="1:51" ht="27" customHeight="1">
      <c r="A44" s="765"/>
      <c r="B44" s="1352"/>
      <c r="C44" s="984"/>
      <c r="D44" s="984"/>
      <c r="E44" s="984"/>
      <c r="F44" s="1368"/>
      <c r="I44" s="426" t="str">
        <f t="shared" si="7"/>
        <v/>
      </c>
      <c r="J44" s="1327" t="str">
        <f t="shared" si="20"/>
        <v/>
      </c>
      <c r="K44" s="1320" t="str">
        <f t="shared" si="21"/>
        <v/>
      </c>
      <c r="L44" s="1321"/>
      <c r="M44" s="1311"/>
      <c r="N44" s="1322"/>
      <c r="O44" s="1322"/>
      <c r="P44" s="1311"/>
      <c r="Q44" s="1401"/>
      <c r="R44" s="1399"/>
      <c r="S44" s="1323" t="str">
        <f t="shared" si="22"/>
        <v/>
      </c>
      <c r="T44" s="1337"/>
      <c r="U44" s="1324" t="str">
        <f t="shared" si="8"/>
        <v/>
      </c>
      <c r="V44" s="1332" t="str">
        <f t="shared" si="23"/>
        <v/>
      </c>
      <c r="W44" s="1333"/>
      <c r="X44" s="1325" t="str">
        <f t="shared" si="24"/>
        <v/>
      </c>
      <c r="Y44" s="1326" t="str">
        <f t="shared" si="9"/>
        <v/>
      </c>
      <c r="Z44" s="1230" t="str" cm="1">
        <f t="array" ref="Z44">IF(M44="","",IF(P44=AM44,1,Slookup(MID(AM44,1,3)*1,UomConversion!$D$8:$J$500,5,UomConversion!$E$8:$E$500,MID(P44,1,3)*1,UomConversion!$J$8:$J$500,1)))</f>
        <v/>
      </c>
      <c r="AA44" s="1230" t="str">
        <f t="shared" si="10"/>
        <v/>
      </c>
      <c r="AB44" s="1231" t="str">
        <f t="shared" si="11"/>
        <v/>
      </c>
      <c r="AC44" s="1232" t="str">
        <f t="shared" si="12"/>
        <v/>
      </c>
      <c r="AD44" s="1230" t="str">
        <f>IF(M44="","",VLOOKUP(I44,product_list,12,FALSE))</f>
        <v/>
      </c>
      <c r="AE44" s="1231" t="str">
        <f>IFERROR(IF(M44="","",IF(invoice_price_type_id=1,VLOOKUP(I44,product_list,13,FALSE),IF(invoice_price_type_id=2,VLOOKUP(I44,product_list,14,FALSE),IF(invoice_price_type_id=3,VLOOKUP(I44,product_list,15,FALSE),IF(invoice_price_type_id=4,VLOOKUP(I44,product_list,16,FALSE),IF(invoice_price_type_id=5,VLOOKUP(I44,product_list,12,FALSE),"")))))),"")</f>
        <v/>
      </c>
      <c r="AF44" s="1233" t="str">
        <f t="shared" si="13"/>
        <v/>
      </c>
      <c r="AG44" s="1230" t="str">
        <f>IF(I44="","",IF(ISNA(MATCH(I44,IF(invoice_location_id=1,'[1]1_inventory_totals'!$C$8:$C$10000,IF(invoice_location_id=2,'[1]2_inventory_totals'!$C$8:$C$10000,0)),0)),0,IF(AU44&gt;0,1,0)))</f>
        <v/>
      </c>
      <c r="AH44" s="1230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I44" s="1230" t="str">
        <f>IF(M44="","",IF(ISNA(MATCH(I44,'[1]1_group_totals'!$C$8:$C$10000)),0,IF(AV44&gt;0,1,0)))</f>
        <v/>
      </c>
      <c r="AJ44" s="1230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K44" s="1230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L44" s="1230" t="str">
        <f>IF(M44="","",SUMIFS('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M44" s="1230" t="str">
        <f>IF(M44="","",VLOOKUP(I44,product_list,11,FALSE))</f>
        <v/>
      </c>
      <c r="AN44" s="1230" t="str">
        <f>IF(OR(ISNA(MATCH(MID(AM44,1,3)*1,UomConversion!$D$8:$D$500,0)),M44=""),"",IF(AS44="","",AS44))</f>
        <v/>
      </c>
      <c r="AO44" s="1230" t="str">
        <f>IF(AND(AP44&gt;0,COUNTIFS(UomConversion!$D$8:$D$500,MID(AM44,1,3)*1,UomConversion!$J$8:$J$500,1)&gt;1),TEXT(AP44,"000")&amp;"."&amp;VLOOKUP(AP44,uom_list,4,FALSE),"")</f>
        <v/>
      </c>
      <c r="AP44" s="1230" t="str">
        <f t="shared" si="14"/>
        <v/>
      </c>
      <c r="AQ44" s="1230" t="str">
        <f t="shared" si="15"/>
        <v/>
      </c>
      <c r="AR44" s="204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S44" s="126" t="str">
        <f t="shared" si="16"/>
        <v/>
      </c>
      <c r="AT44" s="126" t="str" cm="1">
        <f t="array" ref="AT44">IF(M44="","",IF(ISNA(Slookup(MID(AM44,1,3)*1,UomConversion!$D$8:$J$500,2,UomConversion!$I$8:$I$500,1,UomConversion!$J$8:$J$500,1)),"",Slookup(MID(AM44,1,3)*1,UomConversion!$D$8:$J$500,2,UomConversion!$I$8:$I$500,1,UomConversion!$J$8:$J$500,1)))</f>
        <v/>
      </c>
      <c r="AU44" s="12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V44" s="143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W44" s="204" t="str">
        <f t="shared" si="17"/>
        <v/>
      </c>
      <c r="AX44" s="204" t="str">
        <f>IF(M44="","",SUMIFS($AW$8:AW44,$I$8:I44,I44))</f>
        <v/>
      </c>
      <c r="AY44" s="204" t="str">
        <f t="shared" si="18"/>
        <v/>
      </c>
    </row>
    <row r="45" spans="1:51" ht="27" customHeight="1">
      <c r="A45" s="765"/>
      <c r="B45" s="1352"/>
      <c r="C45" s="984"/>
      <c r="D45" s="984"/>
      <c r="E45" s="984"/>
      <c r="F45" s="1368"/>
      <c r="I45" s="426" t="str">
        <f t="shared" si="7"/>
        <v/>
      </c>
      <c r="J45" s="1327" t="str">
        <f t="shared" si="20"/>
        <v/>
      </c>
      <c r="K45" s="1320" t="str">
        <f t="shared" si="21"/>
        <v/>
      </c>
      <c r="L45" s="1321"/>
      <c r="M45" s="1311"/>
      <c r="N45" s="1322"/>
      <c r="O45" s="1322"/>
      <c r="P45" s="1311"/>
      <c r="Q45" s="1401"/>
      <c r="R45" s="1399"/>
      <c r="S45" s="1323" t="str">
        <f t="shared" si="22"/>
        <v/>
      </c>
      <c r="T45" s="1337"/>
      <c r="U45" s="1324" t="str">
        <f t="shared" si="8"/>
        <v/>
      </c>
      <c r="V45" s="1332" t="str">
        <f t="shared" si="23"/>
        <v/>
      </c>
      <c r="W45" s="1333"/>
      <c r="X45" s="1325" t="str">
        <f t="shared" si="24"/>
        <v/>
      </c>
      <c r="Y45" s="1326" t="str">
        <f t="shared" si="9"/>
        <v/>
      </c>
      <c r="Z45" s="1230" t="str" cm="1">
        <f t="array" ref="Z45">IF(M45="","",IF(P45=AM45,1,Slookup(MID(AM45,1,3)*1,UomConversion!$D$8:$J$500,5,UomConversion!$E$8:$E$500,MID(P45,1,3)*1,UomConversion!$J$8:$J$500,1)))</f>
        <v/>
      </c>
      <c r="AA45" s="1230" t="str">
        <f t="shared" si="10"/>
        <v/>
      </c>
      <c r="AB45" s="1231" t="str">
        <f t="shared" si="11"/>
        <v/>
      </c>
      <c r="AC45" s="1232" t="str">
        <f t="shared" si="12"/>
        <v/>
      </c>
      <c r="AD45" s="1230" t="str">
        <f>IF(M45="","",VLOOKUP(I45,product_list,12,FALSE))</f>
        <v/>
      </c>
      <c r="AE45" s="1231" t="str">
        <f>IFERROR(IF(M45="","",IF(invoice_price_type_id=1,VLOOKUP(I45,product_list,13,FALSE),IF(invoice_price_type_id=2,VLOOKUP(I45,product_list,14,FALSE),IF(invoice_price_type_id=3,VLOOKUP(I45,product_list,15,FALSE),IF(invoice_price_type_id=4,VLOOKUP(I45,product_list,16,FALSE),IF(invoice_price_type_id=5,VLOOKUP(I45,product_list,12,FALSE),"")))))),"")</f>
        <v/>
      </c>
      <c r="AF45" s="1233" t="str">
        <f t="shared" si="13"/>
        <v/>
      </c>
      <c r="AG45" s="1230" t="str">
        <f>IF(I45="","",IF(ISNA(MATCH(I45,IF(invoice_location_id=1,'[1]1_inventory_totals'!$C$8:$C$10000,IF(invoice_location_id=2,'[1]2_inventory_totals'!$C$8:$C$10000,0)),0)),0,IF(AU45&gt;0,1,0)))</f>
        <v/>
      </c>
      <c r="AH45" s="1230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I45" s="1230" t="str">
        <f>IF(M45="","",IF(ISNA(MATCH(I45,'[1]1_group_totals'!$C$8:$C$10000)),0,IF(AV45&gt;0,1,0)))</f>
        <v/>
      </c>
      <c r="AJ45" s="1230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K45" s="1230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L45" s="1230" t="str">
        <f>IF(M45="","",SUMIFS('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M45" s="1230" t="str">
        <f>IF(M45="","",VLOOKUP(I45,product_list,11,FALSE))</f>
        <v/>
      </c>
      <c r="AN45" s="1230" t="str">
        <f>IF(OR(ISNA(MATCH(MID(AM45,1,3)*1,UomConversion!$D$8:$D$500,0)),M45=""),"",IF(AS45="","",AS45))</f>
        <v/>
      </c>
      <c r="AO45" s="1230" t="str">
        <f>IF(AND(AP45&gt;0,COUNTIFS(UomConversion!$D$8:$D$500,MID(AM45,1,3)*1,UomConversion!$J$8:$J$500,1)&gt;1),TEXT(AP45,"000")&amp;"."&amp;VLOOKUP(AP45,uom_list,4,FALSE),"")</f>
        <v/>
      </c>
      <c r="AP45" s="1230" t="str">
        <f t="shared" si="14"/>
        <v/>
      </c>
      <c r="AQ45" s="1230" t="str">
        <f t="shared" si="15"/>
        <v/>
      </c>
      <c r="AR45" s="204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S45" s="126" t="str">
        <f t="shared" si="16"/>
        <v/>
      </c>
      <c r="AT45" s="126" t="str" cm="1">
        <f t="array" ref="AT45">IF(M45="","",IF(ISNA(Slookup(MID(AM45,1,3)*1,UomConversion!$D$8:$J$500,2,UomConversion!$I$8:$I$500,1,UomConversion!$J$8:$J$500,1)),"",Slookup(MID(AM45,1,3)*1,UomConversion!$D$8:$J$500,2,UomConversion!$I$8:$I$500,1,UomConversion!$J$8:$J$500,1)))</f>
        <v/>
      </c>
      <c r="AU45" s="12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V45" s="143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W45" s="204" t="str">
        <f t="shared" si="17"/>
        <v/>
      </c>
      <c r="AX45" s="204" t="str">
        <f>IF(M45="","",SUMIFS($AW$8:AW45,$I$8:I45,I45))</f>
        <v/>
      </c>
      <c r="AY45" s="204" t="str">
        <f t="shared" si="18"/>
        <v/>
      </c>
    </row>
    <row r="46" spans="1:51" ht="27" customHeight="1">
      <c r="A46" s="765"/>
      <c r="B46" s="1352"/>
      <c r="C46" s="984"/>
      <c r="D46" s="984"/>
      <c r="E46" s="984"/>
      <c r="F46" s="1368"/>
      <c r="I46" s="426" t="str">
        <f t="shared" si="7"/>
        <v/>
      </c>
      <c r="J46" s="1327" t="str">
        <f t="shared" si="20"/>
        <v/>
      </c>
      <c r="K46" s="1320" t="str">
        <f t="shared" si="21"/>
        <v/>
      </c>
      <c r="L46" s="1321"/>
      <c r="M46" s="1311"/>
      <c r="N46" s="1322"/>
      <c r="O46" s="1322"/>
      <c r="P46" s="1311"/>
      <c r="Q46" s="1401"/>
      <c r="R46" s="1399"/>
      <c r="S46" s="1323" t="str">
        <f t="shared" si="22"/>
        <v/>
      </c>
      <c r="T46" s="1337"/>
      <c r="U46" s="1324" t="str">
        <f t="shared" si="8"/>
        <v/>
      </c>
      <c r="V46" s="1332" t="str">
        <f t="shared" si="23"/>
        <v/>
      </c>
      <c r="W46" s="1333"/>
      <c r="X46" s="1325" t="str">
        <f t="shared" si="24"/>
        <v/>
      </c>
      <c r="Y46" s="1326" t="str">
        <f t="shared" si="9"/>
        <v/>
      </c>
      <c r="Z46" s="1230" t="str" cm="1">
        <f t="array" ref="Z46">IF(M46="","",IF(P46=AM46,1,Slookup(MID(AM46,1,3)*1,UomConversion!$D$8:$J$500,5,UomConversion!$E$8:$E$500,MID(P46,1,3)*1,UomConversion!$J$8:$J$500,1)))</f>
        <v/>
      </c>
      <c r="AA46" s="1230" t="str">
        <f t="shared" si="10"/>
        <v/>
      </c>
      <c r="AB46" s="1231" t="str">
        <f t="shared" si="11"/>
        <v/>
      </c>
      <c r="AC46" s="1232" t="str">
        <f t="shared" si="12"/>
        <v/>
      </c>
      <c r="AD46" s="1230" t="str">
        <f>IF(M46="","",VLOOKUP(I46,product_list,12,FALSE))</f>
        <v/>
      </c>
      <c r="AE46" s="1231" t="str">
        <f>IFERROR(IF(M46="","",IF(invoice_price_type_id=1,VLOOKUP(I46,product_list,13,FALSE),IF(invoice_price_type_id=2,VLOOKUP(I46,product_list,14,FALSE),IF(invoice_price_type_id=3,VLOOKUP(I46,product_list,15,FALSE),IF(invoice_price_type_id=4,VLOOKUP(I46,product_list,16,FALSE),IF(invoice_price_type_id=5,VLOOKUP(I46,product_list,12,FALSE),"")))))),"")</f>
        <v/>
      </c>
      <c r="AF46" s="1233" t="str">
        <f t="shared" si="13"/>
        <v/>
      </c>
      <c r="AG46" s="1230" t="str">
        <f>IF(I46="","",IF(ISNA(MATCH(I46,IF(invoice_location_id=1,'[1]1_inventory_totals'!$C$8:$C$10000,IF(invoice_location_id=2,'[1]2_inventory_totals'!$C$8:$C$10000,0)),0)),0,IF(AU46&gt;0,1,0)))</f>
        <v/>
      </c>
      <c r="AH46" s="1230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I46" s="1230" t="str">
        <f>IF(M46="","",IF(ISNA(MATCH(I46,'[1]1_group_totals'!$C$8:$C$10000)),0,IF(AV46&gt;0,1,0)))</f>
        <v/>
      </c>
      <c r="AJ46" s="1230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K46" s="1230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L46" s="1230" t="str">
        <f>IF(M46="","",SUMIFS('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M46" s="1230" t="str">
        <f>IF(M46="","",VLOOKUP(I46,product_list,11,FALSE))</f>
        <v/>
      </c>
      <c r="AN46" s="1230" t="str">
        <f>IF(OR(ISNA(MATCH(MID(AM46,1,3)*1,UomConversion!$D$8:$D$500,0)),M46=""),"",IF(AS46="","",AS46))</f>
        <v/>
      </c>
      <c r="AO46" s="1230" t="str">
        <f>IF(AND(AP46&gt;0,COUNTIFS(UomConversion!$D$8:$D$500,MID(AM46,1,3)*1,UomConversion!$J$8:$J$500,1)&gt;1),TEXT(AP46,"000")&amp;"."&amp;VLOOKUP(AP46,uom_list,4,FALSE),"")</f>
        <v/>
      </c>
      <c r="AP46" s="1230" t="str">
        <f t="shared" si="14"/>
        <v/>
      </c>
      <c r="AQ46" s="1230" t="str">
        <f t="shared" si="15"/>
        <v/>
      </c>
      <c r="AR46" s="204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S46" s="126" t="str">
        <f t="shared" si="16"/>
        <v/>
      </c>
      <c r="AT46" s="126" t="str" cm="1">
        <f t="array" ref="AT46">IF(M46="","",IF(ISNA(Slookup(MID(AM46,1,3)*1,UomConversion!$D$8:$J$500,2,UomConversion!$I$8:$I$500,1,UomConversion!$J$8:$J$500,1)),"",Slookup(MID(AM46,1,3)*1,UomConversion!$D$8:$J$500,2,UomConversion!$I$8:$I$500,1,UomConversion!$J$8:$J$500,1)))</f>
        <v/>
      </c>
      <c r="AU46" s="12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V46" s="143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W46" s="204" t="str">
        <f t="shared" si="17"/>
        <v/>
      </c>
      <c r="AX46" s="204" t="str">
        <f>IF(M46="","",SUMIFS($AW$8:AW46,$I$8:I46,I46))</f>
        <v/>
      </c>
      <c r="AY46" s="204" t="str">
        <f t="shared" si="18"/>
        <v/>
      </c>
    </row>
    <row r="47" spans="1:51" ht="27" customHeight="1">
      <c r="A47" s="765"/>
      <c r="B47" s="1352"/>
      <c r="C47" s="984"/>
      <c r="D47" s="984"/>
      <c r="E47" s="984"/>
      <c r="F47" s="1368"/>
      <c r="I47" s="426" t="str">
        <f t="shared" si="7"/>
        <v/>
      </c>
      <c r="J47" s="1327" t="str">
        <f t="shared" si="20"/>
        <v/>
      </c>
      <c r="K47" s="1320" t="str">
        <f t="shared" si="21"/>
        <v/>
      </c>
      <c r="L47" s="1321"/>
      <c r="M47" s="1311"/>
      <c r="N47" s="1322"/>
      <c r="O47" s="1322"/>
      <c r="P47" s="1311"/>
      <c r="Q47" s="1401"/>
      <c r="R47" s="1399"/>
      <c r="S47" s="1323" t="str">
        <f t="shared" si="22"/>
        <v/>
      </c>
      <c r="T47" s="1337"/>
      <c r="U47" s="1324" t="str">
        <f t="shared" si="8"/>
        <v/>
      </c>
      <c r="V47" s="1332" t="str">
        <f t="shared" si="23"/>
        <v/>
      </c>
      <c r="W47" s="1333"/>
      <c r="X47" s="1325" t="str">
        <f t="shared" si="24"/>
        <v/>
      </c>
      <c r="Y47" s="1326" t="str">
        <f t="shared" si="9"/>
        <v/>
      </c>
      <c r="Z47" s="1230" t="str" cm="1">
        <f t="array" ref="Z47">IF(M47="","",IF(P47=AM47,1,Slookup(MID(AM47,1,3)*1,UomConversion!$D$8:$J$500,5,UomConversion!$E$8:$E$500,MID(P47,1,3)*1,UomConversion!$J$8:$J$500,1)))</f>
        <v/>
      </c>
      <c r="AA47" s="1230" t="str">
        <f t="shared" si="10"/>
        <v/>
      </c>
      <c r="AB47" s="1231" t="str">
        <f t="shared" si="11"/>
        <v/>
      </c>
      <c r="AC47" s="1232" t="str">
        <f t="shared" si="12"/>
        <v/>
      </c>
      <c r="AD47" s="1230" t="str">
        <f>IF(M47="","",VLOOKUP(I47,product_list,12,FALSE))</f>
        <v/>
      </c>
      <c r="AE47" s="1231" t="str">
        <f>IFERROR(IF(M47="","",IF(invoice_price_type_id=1,VLOOKUP(I47,product_list,13,FALSE),IF(invoice_price_type_id=2,VLOOKUP(I47,product_list,14,FALSE),IF(invoice_price_type_id=3,VLOOKUP(I47,product_list,15,FALSE),IF(invoice_price_type_id=4,VLOOKUP(I47,product_list,16,FALSE),IF(invoice_price_type_id=5,VLOOKUP(I47,product_list,12,FALSE),"")))))),"")</f>
        <v/>
      </c>
      <c r="AF47" s="1233" t="str">
        <f t="shared" si="13"/>
        <v/>
      </c>
      <c r="AG47" s="1230" t="str">
        <f>IF(I47="","",IF(ISNA(MATCH(I47,IF(invoice_location_id=1,'[1]1_inventory_totals'!$C$8:$C$10000,IF(invoice_location_id=2,'[1]2_inventory_totals'!$C$8:$C$10000,0)),0)),0,IF(AU47&gt;0,1,0)))</f>
        <v/>
      </c>
      <c r="AH47" s="1230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I47" s="1230" t="str">
        <f>IF(M47="","",IF(ISNA(MATCH(I47,'[1]1_group_totals'!$C$8:$C$10000)),0,IF(AV47&gt;0,1,0)))</f>
        <v/>
      </c>
      <c r="AJ47" s="1230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K47" s="1230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L47" s="1230" t="str">
        <f>IF(M47="","",SUMIFS('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M47" s="1230" t="str">
        <f>IF(M47="","",VLOOKUP(I47,product_list,11,FALSE))</f>
        <v/>
      </c>
      <c r="AN47" s="1230" t="str">
        <f>IF(OR(ISNA(MATCH(MID(AM47,1,3)*1,UomConversion!$D$8:$D$500,0)),M47=""),"",IF(AS47="","",AS47))</f>
        <v/>
      </c>
      <c r="AO47" s="1230" t="str">
        <f>IF(AND(AP47&gt;0,COUNTIFS(UomConversion!$D$8:$D$500,MID(AM47,1,3)*1,UomConversion!$J$8:$J$500,1)&gt;1),TEXT(AP47,"000")&amp;"."&amp;VLOOKUP(AP47,uom_list,4,FALSE),"")</f>
        <v/>
      </c>
      <c r="AP47" s="1230" t="str">
        <f t="shared" si="14"/>
        <v/>
      </c>
      <c r="AQ47" s="1230" t="str">
        <f t="shared" si="15"/>
        <v/>
      </c>
      <c r="AR47" s="204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S47" s="126" t="str">
        <f t="shared" si="16"/>
        <v/>
      </c>
      <c r="AT47" s="126" t="str" cm="1">
        <f t="array" ref="AT47">IF(M47="","",IF(ISNA(Slookup(MID(AM47,1,3)*1,UomConversion!$D$8:$J$500,2,UomConversion!$I$8:$I$500,1,UomConversion!$J$8:$J$500,1)),"",Slookup(MID(AM47,1,3)*1,UomConversion!$D$8:$J$500,2,UomConversion!$I$8:$I$500,1,UomConversion!$J$8:$J$500,1)))</f>
        <v/>
      </c>
      <c r="AU47" s="12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V47" s="143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W47" s="204" t="str">
        <f t="shared" si="17"/>
        <v/>
      </c>
      <c r="AX47" s="204" t="str">
        <f>IF(M47="","",SUMIFS($AW$8:AW47,$I$8:I47,I47))</f>
        <v/>
      </c>
      <c r="AY47" s="204" t="str">
        <f t="shared" si="18"/>
        <v/>
      </c>
    </row>
    <row r="48" spans="1:51" ht="27" customHeight="1">
      <c r="A48" s="765"/>
      <c r="B48" s="1352"/>
      <c r="C48" s="984"/>
      <c r="D48" s="984"/>
      <c r="E48" s="984"/>
      <c r="F48" s="1368"/>
      <c r="I48" s="426" t="str">
        <f t="shared" si="7"/>
        <v/>
      </c>
      <c r="J48" s="1327" t="str">
        <f t="shared" si="20"/>
        <v/>
      </c>
      <c r="K48" s="1320" t="str">
        <f t="shared" si="21"/>
        <v/>
      </c>
      <c r="L48" s="1321"/>
      <c r="M48" s="1311"/>
      <c r="N48" s="1322"/>
      <c r="O48" s="1322"/>
      <c r="P48" s="1311"/>
      <c r="Q48" s="1401"/>
      <c r="R48" s="1399"/>
      <c r="S48" s="1323" t="str">
        <f t="shared" si="22"/>
        <v/>
      </c>
      <c r="T48" s="1337"/>
      <c r="U48" s="1324" t="str">
        <f t="shared" si="8"/>
        <v/>
      </c>
      <c r="V48" s="1332" t="str">
        <f t="shared" si="23"/>
        <v/>
      </c>
      <c r="W48" s="1333"/>
      <c r="X48" s="1325" t="str">
        <f t="shared" si="24"/>
        <v/>
      </c>
      <c r="Y48" s="1326" t="str">
        <f t="shared" si="9"/>
        <v/>
      </c>
      <c r="Z48" s="1230" t="str" cm="1">
        <f t="array" ref="Z48">IF(M48="","",IF(P48=AM48,1,Slookup(MID(AM48,1,3)*1,UomConversion!$D$8:$J$500,5,UomConversion!$E$8:$E$500,MID(P48,1,3)*1,UomConversion!$J$8:$J$500,1)))</f>
        <v/>
      </c>
      <c r="AA48" s="1230" t="str">
        <f t="shared" si="10"/>
        <v/>
      </c>
      <c r="AB48" s="1231" t="str">
        <f t="shared" si="11"/>
        <v/>
      </c>
      <c r="AC48" s="1232" t="str">
        <f t="shared" si="12"/>
        <v/>
      </c>
      <c r="AD48" s="1230" t="str">
        <f>IF(M48="","",VLOOKUP(I48,product_list,12,FALSE))</f>
        <v/>
      </c>
      <c r="AE48" s="1231" t="str">
        <f>IFERROR(IF(M48="","",IF(invoice_price_type_id=1,VLOOKUP(I48,product_list,13,FALSE),IF(invoice_price_type_id=2,VLOOKUP(I48,product_list,14,FALSE),IF(invoice_price_type_id=3,VLOOKUP(I48,product_list,15,FALSE),IF(invoice_price_type_id=4,VLOOKUP(I48,product_list,16,FALSE),IF(invoice_price_type_id=5,VLOOKUP(I48,product_list,12,FALSE),"")))))),"")</f>
        <v/>
      </c>
      <c r="AF48" s="1233" t="str">
        <f t="shared" si="13"/>
        <v/>
      </c>
      <c r="AG48" s="1230" t="str">
        <f>IF(I48="","",IF(ISNA(MATCH(I48,IF(invoice_location_id=1,'[1]1_inventory_totals'!$C$8:$C$10000,IF(invoice_location_id=2,'[1]2_inventory_totals'!$C$8:$C$10000,0)),0)),0,IF(AU48&gt;0,1,0)))</f>
        <v/>
      </c>
      <c r="AH48" s="1230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I48" s="1230" t="str">
        <f>IF(M48="","",IF(ISNA(MATCH(I48,'[1]1_group_totals'!$C$8:$C$10000)),0,IF(AV48&gt;0,1,0)))</f>
        <v/>
      </c>
      <c r="AJ48" s="1230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K48" s="1230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L48" s="1230" t="str">
        <f>IF(M48="","",SUMIFS('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M48" s="1230" t="str">
        <f>IF(M48="","",VLOOKUP(I48,product_list,11,FALSE))</f>
        <v/>
      </c>
      <c r="AN48" s="1230" t="str">
        <f>IF(OR(ISNA(MATCH(MID(AM48,1,3)*1,UomConversion!$D$8:$D$500,0)),M48=""),"",IF(AS48="","",AS48))</f>
        <v/>
      </c>
      <c r="AO48" s="1230" t="str">
        <f>IF(AND(AP48&gt;0,COUNTIFS(UomConversion!$D$8:$D$500,MID(AM48,1,3)*1,UomConversion!$J$8:$J$500,1)&gt;1),TEXT(AP48,"000")&amp;"."&amp;VLOOKUP(AP48,uom_list,4,FALSE),"")</f>
        <v/>
      </c>
      <c r="AP48" s="1230" t="str">
        <f t="shared" si="14"/>
        <v/>
      </c>
      <c r="AQ48" s="1230" t="str">
        <f t="shared" si="15"/>
        <v/>
      </c>
      <c r="AR48" s="204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S48" s="126" t="str">
        <f t="shared" si="16"/>
        <v/>
      </c>
      <c r="AT48" s="126" t="str" cm="1">
        <f t="array" ref="AT48">IF(M48="","",IF(ISNA(Slookup(MID(AM48,1,3)*1,UomConversion!$D$8:$J$500,2,UomConversion!$I$8:$I$500,1,UomConversion!$J$8:$J$500,1)),"",Slookup(MID(AM48,1,3)*1,UomConversion!$D$8:$J$500,2,UomConversion!$I$8:$I$500,1,UomConversion!$J$8:$J$500,1)))</f>
        <v/>
      </c>
      <c r="AU48" s="12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V48" s="143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W48" s="204" t="str">
        <f t="shared" si="17"/>
        <v/>
      </c>
      <c r="AX48" s="204" t="str">
        <f>IF(M48="","",SUMIFS($AW$8:AW48,$I$8:I48,I48))</f>
        <v/>
      </c>
      <c r="AY48" s="204" t="str">
        <f t="shared" si="18"/>
        <v/>
      </c>
    </row>
    <row r="49" spans="1:51" ht="27" customHeight="1">
      <c r="A49" s="765"/>
      <c r="B49" s="1352"/>
      <c r="C49" s="984"/>
      <c r="D49" s="984"/>
      <c r="E49" s="984"/>
      <c r="F49" s="1368"/>
      <c r="I49" s="426" t="str">
        <f t="shared" si="7"/>
        <v/>
      </c>
      <c r="J49" s="1327" t="str">
        <f t="shared" si="20"/>
        <v/>
      </c>
      <c r="K49" s="1320" t="str">
        <f t="shared" si="21"/>
        <v/>
      </c>
      <c r="L49" s="1321"/>
      <c r="M49" s="1311"/>
      <c r="N49" s="1322"/>
      <c r="O49" s="1322"/>
      <c r="P49" s="1311"/>
      <c r="Q49" s="1401"/>
      <c r="R49" s="1399"/>
      <c r="S49" s="1323" t="str">
        <f t="shared" si="22"/>
        <v/>
      </c>
      <c r="T49" s="1337"/>
      <c r="U49" s="1324" t="str">
        <f t="shared" si="8"/>
        <v/>
      </c>
      <c r="V49" s="1332" t="str">
        <f t="shared" si="23"/>
        <v/>
      </c>
      <c r="W49" s="1333"/>
      <c r="X49" s="1325" t="str">
        <f t="shared" si="24"/>
        <v/>
      </c>
      <c r="Y49" s="1326" t="str">
        <f t="shared" si="9"/>
        <v/>
      </c>
      <c r="Z49" s="1230" t="str" cm="1">
        <f t="array" ref="Z49">IF(M49="","",IF(P49=AM49,1,Slookup(MID(AM49,1,3)*1,UomConversion!$D$8:$J$500,5,UomConversion!$E$8:$E$500,MID(P49,1,3)*1,UomConversion!$J$8:$J$500,1)))</f>
        <v/>
      </c>
      <c r="AA49" s="1230" t="str">
        <f t="shared" si="10"/>
        <v/>
      </c>
      <c r="AB49" s="1231" t="str">
        <f t="shared" si="11"/>
        <v/>
      </c>
      <c r="AC49" s="1232" t="str">
        <f t="shared" si="12"/>
        <v/>
      </c>
      <c r="AD49" s="1230" t="str">
        <f>IF(M49="","",VLOOKUP(I49,product_list,12,FALSE))</f>
        <v/>
      </c>
      <c r="AE49" s="1231" t="str">
        <f>IFERROR(IF(M49="","",IF(invoice_price_type_id=1,VLOOKUP(I49,product_list,13,FALSE),IF(invoice_price_type_id=2,VLOOKUP(I49,product_list,14,FALSE),IF(invoice_price_type_id=3,VLOOKUP(I49,product_list,15,FALSE),IF(invoice_price_type_id=4,VLOOKUP(I49,product_list,16,FALSE),IF(invoice_price_type_id=5,VLOOKUP(I49,product_list,12,FALSE),"")))))),"")</f>
        <v/>
      </c>
      <c r="AF49" s="1233" t="str">
        <f t="shared" si="13"/>
        <v/>
      </c>
      <c r="AG49" s="1230" t="str">
        <f>IF(I49="","",IF(ISNA(MATCH(I49,IF(invoice_location_id=1,'[1]1_inventory_totals'!$C$8:$C$10000,IF(invoice_location_id=2,'[1]2_inventory_totals'!$C$8:$C$10000,0)),0)),0,IF(AU49&gt;0,1,0)))</f>
        <v/>
      </c>
      <c r="AH49" s="1230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I49" s="1230" t="str">
        <f>IF(M49="","",IF(ISNA(MATCH(I49,'[1]1_group_totals'!$C$8:$C$10000)),0,IF(AV49&gt;0,1,0)))</f>
        <v/>
      </c>
      <c r="AJ49" s="1230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K49" s="1230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L49" s="1230" t="str">
        <f>IF(M49="","",SUMIFS('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M49" s="1230" t="str">
        <f>IF(M49="","",VLOOKUP(I49,product_list,11,FALSE))</f>
        <v/>
      </c>
      <c r="AN49" s="1230" t="str">
        <f>IF(OR(ISNA(MATCH(MID(AM49,1,3)*1,UomConversion!$D$8:$D$500,0)),M49=""),"",IF(AS49="","",AS49))</f>
        <v/>
      </c>
      <c r="AO49" s="1230" t="str">
        <f>IF(AND(AP49&gt;0,COUNTIFS(UomConversion!$D$8:$D$500,MID(AM49,1,3)*1,UomConversion!$J$8:$J$500,1)&gt;1),TEXT(AP49,"000")&amp;"."&amp;VLOOKUP(AP49,uom_list,4,FALSE),"")</f>
        <v/>
      </c>
      <c r="AP49" s="1230" t="str">
        <f t="shared" si="14"/>
        <v/>
      </c>
      <c r="AQ49" s="1230" t="str">
        <f t="shared" si="15"/>
        <v/>
      </c>
      <c r="AR49" s="204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S49" s="126" t="str">
        <f t="shared" si="16"/>
        <v/>
      </c>
      <c r="AT49" s="126" t="str" cm="1">
        <f t="array" ref="AT49">IF(M49="","",IF(ISNA(Slookup(MID(AM49,1,3)*1,UomConversion!$D$8:$J$500,2,UomConversion!$I$8:$I$500,1,UomConversion!$J$8:$J$500,1)),"",Slookup(MID(AM49,1,3)*1,UomConversion!$D$8:$J$500,2,UomConversion!$I$8:$I$500,1,UomConversion!$J$8:$J$500,1)))</f>
        <v/>
      </c>
      <c r="AU49" s="12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V49" s="143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W49" s="204" t="str">
        <f t="shared" si="17"/>
        <v/>
      </c>
      <c r="AX49" s="204" t="str">
        <f>IF(M49="","",SUMIFS($AW$8:AW49,$I$8:I49,I49))</f>
        <v/>
      </c>
      <c r="AY49" s="204" t="str">
        <f t="shared" si="18"/>
        <v/>
      </c>
    </row>
    <row r="50" spans="1:51" ht="27" customHeight="1">
      <c r="A50" s="765"/>
      <c r="B50" s="1352"/>
      <c r="C50" s="984"/>
      <c r="D50" s="984"/>
      <c r="E50" s="984"/>
      <c r="F50" s="1368"/>
      <c r="I50" s="426" t="str">
        <f t="shared" si="7"/>
        <v/>
      </c>
      <c r="J50" s="1327" t="str">
        <f t="shared" si="20"/>
        <v/>
      </c>
      <c r="K50" s="1320" t="str">
        <f t="shared" si="21"/>
        <v/>
      </c>
      <c r="L50" s="1321"/>
      <c r="M50" s="1311"/>
      <c r="N50" s="1322"/>
      <c r="O50" s="1322"/>
      <c r="P50" s="1311"/>
      <c r="Q50" s="1401"/>
      <c r="R50" s="1399"/>
      <c r="S50" s="1323" t="str">
        <f t="shared" si="22"/>
        <v/>
      </c>
      <c r="T50" s="1337"/>
      <c r="U50" s="1324" t="str">
        <f t="shared" si="8"/>
        <v/>
      </c>
      <c r="V50" s="1332" t="str">
        <f t="shared" si="23"/>
        <v/>
      </c>
      <c r="W50" s="1333"/>
      <c r="X50" s="1325" t="str">
        <f t="shared" si="24"/>
        <v/>
      </c>
      <c r="Y50" s="1326" t="str">
        <f t="shared" si="9"/>
        <v/>
      </c>
      <c r="Z50" s="1230" t="str" cm="1">
        <f t="array" ref="Z50">IF(M50="","",IF(P50=AM50,1,Slookup(MID(AM50,1,3)*1,UomConversion!$D$8:$J$500,5,UomConversion!$E$8:$E$500,MID(P50,1,3)*1,UomConversion!$J$8:$J$500,1)))</f>
        <v/>
      </c>
      <c r="AA50" s="1230" t="str">
        <f t="shared" si="10"/>
        <v/>
      </c>
      <c r="AB50" s="1231" t="str">
        <f t="shared" si="11"/>
        <v/>
      </c>
      <c r="AC50" s="1232" t="str">
        <f t="shared" si="12"/>
        <v/>
      </c>
      <c r="AD50" s="1230" t="str">
        <f>IF(M50="","",VLOOKUP(I50,product_list,12,FALSE))</f>
        <v/>
      </c>
      <c r="AE50" s="1231" t="str">
        <f>IFERROR(IF(M50="","",IF(invoice_price_type_id=1,VLOOKUP(I50,product_list,13,FALSE),IF(invoice_price_type_id=2,VLOOKUP(I50,product_list,14,FALSE),IF(invoice_price_type_id=3,VLOOKUP(I50,product_list,15,FALSE),IF(invoice_price_type_id=4,VLOOKUP(I50,product_list,16,FALSE),IF(invoice_price_type_id=5,VLOOKUP(I50,product_list,12,FALSE),"")))))),"")</f>
        <v/>
      </c>
      <c r="AF50" s="1233" t="str">
        <f t="shared" si="13"/>
        <v/>
      </c>
      <c r="AG50" s="1230" t="str">
        <f>IF(I50="","",IF(ISNA(MATCH(I50,IF(invoice_location_id=1,'[1]1_inventory_totals'!$C$8:$C$10000,IF(invoice_location_id=2,'[1]2_inventory_totals'!$C$8:$C$10000,0)),0)),0,IF(AU50&gt;0,1,0)))</f>
        <v/>
      </c>
      <c r="AH50" s="1230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I50" s="1230" t="str">
        <f>IF(M50="","",IF(ISNA(MATCH(I50,'[1]1_group_totals'!$C$8:$C$10000)),0,IF(AV50&gt;0,1,0)))</f>
        <v/>
      </c>
      <c r="AJ50" s="1230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K50" s="1230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L50" s="1230" t="str">
        <f>IF(M50="","",SUMIFS('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M50" s="1230" t="str">
        <f>IF(M50="","",VLOOKUP(I50,product_list,11,FALSE))</f>
        <v/>
      </c>
      <c r="AN50" s="1230" t="str">
        <f>IF(OR(ISNA(MATCH(MID(AM50,1,3)*1,UomConversion!$D$8:$D$500,0)),M50=""),"",IF(AS50="","",AS50))</f>
        <v/>
      </c>
      <c r="AO50" s="1230" t="str">
        <f>IF(AND(AP50&gt;0,COUNTIFS(UomConversion!$D$8:$D$500,MID(AM50,1,3)*1,UomConversion!$J$8:$J$500,1)&gt;1),TEXT(AP50,"000")&amp;"."&amp;VLOOKUP(AP50,uom_list,4,FALSE),"")</f>
        <v/>
      </c>
      <c r="AP50" s="1230" t="str">
        <f t="shared" si="14"/>
        <v/>
      </c>
      <c r="AQ50" s="1230" t="str">
        <f t="shared" si="15"/>
        <v/>
      </c>
      <c r="AR50" s="204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S50" s="126" t="str">
        <f t="shared" si="16"/>
        <v/>
      </c>
      <c r="AT50" s="126" t="str" cm="1">
        <f t="array" ref="AT50">IF(M50="","",IF(ISNA(Slookup(MID(AM50,1,3)*1,UomConversion!$D$8:$J$500,2,UomConversion!$I$8:$I$500,1,UomConversion!$J$8:$J$500,1)),"",Slookup(MID(AM50,1,3)*1,UomConversion!$D$8:$J$500,2,UomConversion!$I$8:$I$500,1,UomConversion!$J$8:$J$500,1)))</f>
        <v/>
      </c>
      <c r="AU50" s="12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V50" s="143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W50" s="204" t="str">
        <f t="shared" si="17"/>
        <v/>
      </c>
      <c r="AX50" s="204" t="str">
        <f>IF(M50="","",SUMIFS($AW$8:AW50,$I$8:I50,I50))</f>
        <v/>
      </c>
      <c r="AY50" s="204" t="str">
        <f t="shared" si="18"/>
        <v/>
      </c>
    </row>
    <row r="51" spans="1:51" ht="27" customHeight="1">
      <c r="A51" s="765"/>
      <c r="B51" s="1352"/>
      <c r="C51" s="984"/>
      <c r="D51" s="984"/>
      <c r="E51" s="984"/>
      <c r="F51" s="1368"/>
      <c r="I51" s="426" t="str">
        <f t="shared" si="7"/>
        <v/>
      </c>
      <c r="J51" s="1327" t="str">
        <f t="shared" si="20"/>
        <v/>
      </c>
      <c r="K51" s="1320" t="str">
        <f t="shared" si="21"/>
        <v/>
      </c>
      <c r="L51" s="1321"/>
      <c r="M51" s="1311"/>
      <c r="N51" s="1322"/>
      <c r="O51" s="1322"/>
      <c r="P51" s="1311"/>
      <c r="Q51" s="1401"/>
      <c r="R51" s="1399"/>
      <c r="S51" s="1323" t="str">
        <f t="shared" si="22"/>
        <v/>
      </c>
      <c r="T51" s="1337"/>
      <c r="U51" s="1324" t="str">
        <f t="shared" si="8"/>
        <v/>
      </c>
      <c r="V51" s="1332" t="str">
        <f t="shared" si="23"/>
        <v/>
      </c>
      <c r="W51" s="1333"/>
      <c r="X51" s="1325" t="str">
        <f t="shared" si="24"/>
        <v/>
      </c>
      <c r="Y51" s="1326" t="str">
        <f t="shared" si="9"/>
        <v/>
      </c>
      <c r="Z51" s="1230" t="str" cm="1">
        <f t="array" ref="Z51">IF(M51="","",IF(P51=AM51,1,Slookup(MID(AM51,1,3)*1,UomConversion!$D$8:$J$500,5,UomConversion!$E$8:$E$500,MID(P51,1,3)*1,UomConversion!$J$8:$J$500,1)))</f>
        <v/>
      </c>
      <c r="AA51" s="1230" t="str">
        <f t="shared" si="10"/>
        <v/>
      </c>
      <c r="AB51" s="1231" t="str">
        <f t="shared" si="11"/>
        <v/>
      </c>
      <c r="AC51" s="1232" t="str">
        <f t="shared" si="12"/>
        <v/>
      </c>
      <c r="AD51" s="1230" t="str">
        <f>IF(M51="","",VLOOKUP(I51,product_list,12,FALSE))</f>
        <v/>
      </c>
      <c r="AE51" s="1231" t="str">
        <f>IFERROR(IF(M51="","",IF(invoice_price_type_id=1,VLOOKUP(I51,product_list,13,FALSE),IF(invoice_price_type_id=2,VLOOKUP(I51,product_list,14,FALSE),IF(invoice_price_type_id=3,VLOOKUP(I51,product_list,15,FALSE),IF(invoice_price_type_id=4,VLOOKUP(I51,product_list,16,FALSE),IF(invoice_price_type_id=5,VLOOKUP(I51,product_list,12,FALSE),"")))))),"")</f>
        <v/>
      </c>
      <c r="AF51" s="1233" t="str">
        <f t="shared" si="13"/>
        <v/>
      </c>
      <c r="AG51" s="1230" t="str">
        <f>IF(I51="","",IF(ISNA(MATCH(I51,IF(invoice_location_id=1,'[1]1_inventory_totals'!$C$8:$C$10000,IF(invoice_location_id=2,'[1]2_inventory_totals'!$C$8:$C$10000,0)),0)),0,IF(AU51&gt;0,1,0)))</f>
        <v/>
      </c>
      <c r="AH51" s="1230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I51" s="1230" t="str">
        <f>IF(M51="","",IF(ISNA(MATCH(I51,'[1]1_group_totals'!$C$8:$C$10000)),0,IF(AV51&gt;0,1,0)))</f>
        <v/>
      </c>
      <c r="AJ51" s="1230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K51" s="1230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L51" s="1230" t="str">
        <f>IF(M51="","",SUMIFS('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M51" s="1230" t="str">
        <f>IF(M51="","",VLOOKUP(I51,product_list,11,FALSE))</f>
        <v/>
      </c>
      <c r="AN51" s="1230" t="str">
        <f>IF(OR(ISNA(MATCH(MID(AM51,1,3)*1,UomConversion!$D$8:$D$500,0)),M51=""),"",IF(AS51="","",AS51))</f>
        <v/>
      </c>
      <c r="AO51" s="1230" t="str">
        <f>IF(AND(AP51&gt;0,COUNTIFS(UomConversion!$D$8:$D$500,MID(AM51,1,3)*1,UomConversion!$J$8:$J$500,1)&gt;1),TEXT(AP51,"000")&amp;"."&amp;VLOOKUP(AP51,uom_list,4,FALSE),"")</f>
        <v/>
      </c>
      <c r="AP51" s="1230" t="str">
        <f t="shared" si="14"/>
        <v/>
      </c>
      <c r="AQ51" s="1230" t="str">
        <f t="shared" si="15"/>
        <v/>
      </c>
      <c r="AR51" s="204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S51" s="126" t="str">
        <f t="shared" si="16"/>
        <v/>
      </c>
      <c r="AT51" s="126" t="str" cm="1">
        <f t="array" ref="AT51">IF(M51="","",IF(ISNA(Slookup(MID(AM51,1,3)*1,UomConversion!$D$8:$J$500,2,UomConversion!$I$8:$I$500,1,UomConversion!$J$8:$J$500,1)),"",Slookup(MID(AM51,1,3)*1,UomConversion!$D$8:$J$500,2,UomConversion!$I$8:$I$500,1,UomConversion!$J$8:$J$500,1)))</f>
        <v/>
      </c>
      <c r="AU51" s="12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V51" s="143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W51" s="204" t="str">
        <f t="shared" si="17"/>
        <v/>
      </c>
      <c r="AX51" s="204" t="str">
        <f>IF(M51="","",SUMIFS($AW$8:AW51,$I$8:I51,I51))</f>
        <v/>
      </c>
      <c r="AY51" s="204" t="str">
        <f t="shared" si="18"/>
        <v/>
      </c>
    </row>
    <row r="52" spans="1:51" ht="27" customHeight="1">
      <c r="A52" s="765"/>
      <c r="B52" s="1352"/>
      <c r="C52" s="984"/>
      <c r="D52" s="984"/>
      <c r="E52" s="984"/>
      <c r="F52" s="1368"/>
      <c r="I52" s="426" t="str">
        <f t="shared" si="7"/>
        <v/>
      </c>
      <c r="J52" s="1327" t="str">
        <f t="shared" si="20"/>
        <v/>
      </c>
      <c r="K52" s="1320" t="str">
        <f t="shared" si="21"/>
        <v/>
      </c>
      <c r="L52" s="1321"/>
      <c r="M52" s="1311"/>
      <c r="N52" s="1322"/>
      <c r="O52" s="1322"/>
      <c r="P52" s="1311"/>
      <c r="Q52" s="1401"/>
      <c r="R52" s="1399"/>
      <c r="S52" s="1323" t="str">
        <f t="shared" si="22"/>
        <v/>
      </c>
      <c r="T52" s="1337"/>
      <c r="U52" s="1324" t="str">
        <f t="shared" si="8"/>
        <v/>
      </c>
      <c r="V52" s="1332" t="str">
        <f t="shared" si="23"/>
        <v/>
      </c>
      <c r="W52" s="1333"/>
      <c r="X52" s="1325" t="str">
        <f t="shared" si="24"/>
        <v/>
      </c>
      <c r="Y52" s="1326" t="str">
        <f t="shared" si="9"/>
        <v/>
      </c>
      <c r="Z52" s="1230" t="str" cm="1">
        <f t="array" ref="Z52">IF(M52="","",IF(P52=AM52,1,Slookup(MID(AM52,1,3)*1,UomConversion!$D$8:$J$500,5,UomConversion!$E$8:$E$500,MID(P52,1,3)*1,UomConversion!$J$8:$J$500,1)))</f>
        <v/>
      </c>
      <c r="AA52" s="1230" t="str">
        <f t="shared" si="10"/>
        <v/>
      </c>
      <c r="AB52" s="1231" t="str">
        <f t="shared" si="11"/>
        <v/>
      </c>
      <c r="AC52" s="1232" t="str">
        <f t="shared" si="12"/>
        <v/>
      </c>
      <c r="AD52" s="1230" t="str">
        <f>IF(M52="","",VLOOKUP(I52,product_list,12,FALSE))</f>
        <v/>
      </c>
      <c r="AE52" s="1231" t="str">
        <f>IFERROR(IF(M52="","",IF(invoice_price_type_id=1,VLOOKUP(I52,product_list,13,FALSE),IF(invoice_price_type_id=2,VLOOKUP(I52,product_list,14,FALSE),IF(invoice_price_type_id=3,VLOOKUP(I52,product_list,15,FALSE),IF(invoice_price_type_id=4,VLOOKUP(I52,product_list,16,FALSE),IF(invoice_price_type_id=5,VLOOKUP(I52,product_list,12,FALSE),"")))))),"")</f>
        <v/>
      </c>
      <c r="AF52" s="1233" t="str">
        <f t="shared" si="13"/>
        <v/>
      </c>
      <c r="AG52" s="1230" t="str">
        <f>IF(I52="","",IF(ISNA(MATCH(I52,IF(invoice_location_id=1,'[1]1_inventory_totals'!$C$8:$C$10000,IF(invoice_location_id=2,'[1]2_inventory_totals'!$C$8:$C$10000,0)),0)),0,IF(AU52&gt;0,1,0)))</f>
        <v/>
      </c>
      <c r="AH52" s="1230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I52" s="1230" t="str">
        <f>IF(M52="","",IF(ISNA(MATCH(I52,'[1]1_group_totals'!$C$8:$C$10000)),0,IF(AV52&gt;0,1,0)))</f>
        <v/>
      </c>
      <c r="AJ52" s="1230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K52" s="1230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L52" s="1230" t="str">
        <f>IF(M52="","",SUMIFS('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M52" s="1230" t="str">
        <f>IF(M52="","",VLOOKUP(I52,product_list,11,FALSE))</f>
        <v/>
      </c>
      <c r="AN52" s="1230" t="str">
        <f>IF(OR(ISNA(MATCH(MID(AM52,1,3)*1,UomConversion!$D$8:$D$500,0)),M52=""),"",IF(AS52="","",AS52))</f>
        <v/>
      </c>
      <c r="AO52" s="1230" t="str">
        <f>IF(AND(AP52&gt;0,COUNTIFS(UomConversion!$D$8:$D$500,MID(AM52,1,3)*1,UomConversion!$J$8:$J$500,1)&gt;1),TEXT(AP52,"000")&amp;"."&amp;VLOOKUP(AP52,uom_list,4,FALSE),"")</f>
        <v/>
      </c>
      <c r="AP52" s="1230" t="str">
        <f t="shared" si="14"/>
        <v/>
      </c>
      <c r="AQ52" s="1230" t="str">
        <f t="shared" si="15"/>
        <v/>
      </c>
      <c r="AR52" s="204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S52" s="126" t="str">
        <f t="shared" si="16"/>
        <v/>
      </c>
      <c r="AT52" s="126" t="str" cm="1">
        <f t="array" ref="AT52">IF(M52="","",IF(ISNA(Slookup(MID(AM52,1,3)*1,UomConversion!$D$8:$J$500,2,UomConversion!$I$8:$I$500,1,UomConversion!$J$8:$J$500,1)),"",Slookup(MID(AM52,1,3)*1,UomConversion!$D$8:$J$500,2,UomConversion!$I$8:$I$500,1,UomConversion!$J$8:$J$500,1)))</f>
        <v/>
      </c>
      <c r="AU52" s="12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V52" s="143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W52" s="204" t="str">
        <f t="shared" si="17"/>
        <v/>
      </c>
      <c r="AX52" s="204" t="str">
        <f>IF(M52="","",SUMIFS($AW$8:AW52,$I$8:I52,I52))</f>
        <v/>
      </c>
      <c r="AY52" s="204" t="str">
        <f t="shared" si="18"/>
        <v/>
      </c>
    </row>
    <row r="53" spans="1:51" ht="27" customHeight="1">
      <c r="A53" s="765"/>
      <c r="B53" s="1358"/>
      <c r="C53" s="984"/>
      <c r="D53" s="984"/>
      <c r="E53" s="984"/>
      <c r="F53" s="1369"/>
      <c r="G53" s="213"/>
      <c r="H53" s="906"/>
      <c r="I53" s="426" t="str">
        <f t="shared" si="7"/>
        <v/>
      </c>
      <c r="J53" s="1327" t="str">
        <f t="shared" si="20"/>
        <v/>
      </c>
      <c r="K53" s="1320" t="str">
        <f t="shared" si="21"/>
        <v/>
      </c>
      <c r="L53" s="1321"/>
      <c r="M53" s="1311"/>
      <c r="N53" s="1322"/>
      <c r="O53" s="1322"/>
      <c r="P53" s="1311"/>
      <c r="Q53" s="1401"/>
      <c r="R53" s="1399"/>
      <c r="S53" s="1323" t="str">
        <f t="shared" si="22"/>
        <v/>
      </c>
      <c r="T53" s="1337"/>
      <c r="U53" s="1324" t="str">
        <f t="shared" si="8"/>
        <v/>
      </c>
      <c r="V53" s="1332" t="str">
        <f t="shared" si="23"/>
        <v/>
      </c>
      <c r="W53" s="1333"/>
      <c r="X53" s="1325" t="str">
        <f t="shared" si="24"/>
        <v/>
      </c>
      <c r="Y53" s="1326" t="str">
        <f t="shared" si="9"/>
        <v/>
      </c>
      <c r="Z53" s="1230" t="str" cm="1">
        <f t="array" ref="Z53">IF(M53="","",IF(P53=AM53,1,Slookup(MID(AM53,1,3)*1,UomConversion!$D$8:$J$500,5,UomConversion!$E$8:$E$500,MID(P53,1,3)*1,UomConversion!$J$8:$J$500,1)))</f>
        <v/>
      </c>
      <c r="AA53" s="1230" t="str">
        <f t="shared" si="10"/>
        <v/>
      </c>
      <c r="AB53" s="1231" t="str">
        <f t="shared" si="11"/>
        <v/>
      </c>
      <c r="AC53" s="1232" t="str">
        <f t="shared" si="12"/>
        <v/>
      </c>
      <c r="AD53" s="1230" t="str">
        <f>IF(M53="","",VLOOKUP(I53,product_list,12,FALSE))</f>
        <v/>
      </c>
      <c r="AE53" s="1231" t="str">
        <f>IFERROR(IF(M53="","",IF(invoice_price_type_id=1,VLOOKUP(I53,product_list,13,FALSE),IF(invoice_price_type_id=2,VLOOKUP(I53,product_list,14,FALSE),IF(invoice_price_type_id=3,VLOOKUP(I53,product_list,15,FALSE),IF(invoice_price_type_id=4,VLOOKUP(I53,product_list,16,FALSE),IF(invoice_price_type_id=5,VLOOKUP(I53,product_list,12,FALSE),"")))))),"")</f>
        <v/>
      </c>
      <c r="AF53" s="1233" t="str">
        <f t="shared" si="13"/>
        <v/>
      </c>
      <c r="AG53" s="1230" t="str">
        <f>IF(I53="","",IF(ISNA(MATCH(I53,IF(invoice_location_id=1,'[1]1_inventory_totals'!$C$8:$C$10000,IF(invoice_location_id=2,'[1]2_inventory_totals'!$C$8:$C$10000,0)),0)),0,IF(AU53&gt;0,1,0)))</f>
        <v/>
      </c>
      <c r="AH53" s="1230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I53" s="1230" t="str">
        <f>IF(M53="","",IF(ISNA(MATCH(I53,'[1]1_group_totals'!$C$8:$C$10000)),0,IF(AV53&gt;0,1,0)))</f>
        <v/>
      </c>
      <c r="AJ53" s="1230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K53" s="1230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L53" s="1230" t="str">
        <f>IF(M53="","",SUMIFS('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M53" s="1230" t="str">
        <f>IF(M53="","",VLOOKUP(I53,product_list,11,FALSE))</f>
        <v/>
      </c>
      <c r="AN53" s="1230" t="str">
        <f>IF(OR(ISNA(MATCH(MID(AM53,1,3)*1,UomConversion!$D$8:$D$500,0)),M53=""),"",IF(AS53="","",AS53))</f>
        <v/>
      </c>
      <c r="AO53" s="1230" t="str">
        <f>IF(AND(AP53&gt;0,COUNTIFS(UomConversion!$D$8:$D$500,MID(AM53,1,3)*1,UomConversion!$J$8:$J$500,1)&gt;1),TEXT(AP53,"000")&amp;"."&amp;VLOOKUP(AP53,uom_list,4,FALSE),"")</f>
        <v/>
      </c>
      <c r="AP53" s="1230" t="str">
        <f t="shared" si="14"/>
        <v/>
      </c>
      <c r="AQ53" s="1230" t="str">
        <f t="shared" si="15"/>
        <v/>
      </c>
      <c r="AR53" s="204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S53" s="126" t="str">
        <f t="shared" si="16"/>
        <v/>
      </c>
      <c r="AT53" s="126" t="str" cm="1">
        <f t="array" ref="AT53">IF(M53="","",IF(ISNA(Slookup(MID(AM53,1,3)*1,UomConversion!$D$8:$J$500,2,UomConversion!$I$8:$I$500,1,UomConversion!$J$8:$J$500,1)),"",Slookup(MID(AM53,1,3)*1,UomConversion!$D$8:$J$500,2,UomConversion!$I$8:$I$500,1,UomConversion!$J$8:$J$500,1)))</f>
        <v/>
      </c>
      <c r="AU53" s="12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V53" s="143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W53" s="204" t="str">
        <f t="shared" si="17"/>
        <v/>
      </c>
      <c r="AX53" s="204" t="str">
        <f>IF(M53="","",SUMIFS($AW$8:AW53,$I$8:I53,I53))</f>
        <v/>
      </c>
      <c r="AY53" s="204" t="str">
        <f t="shared" si="18"/>
        <v/>
      </c>
    </row>
    <row r="54" spans="1:51" ht="27" customHeight="1">
      <c r="A54" s="765"/>
      <c r="B54" s="1358"/>
      <c r="C54" s="984"/>
      <c r="D54" s="984"/>
      <c r="E54" s="984"/>
      <c r="F54" s="1369"/>
      <c r="G54" s="213"/>
      <c r="H54" s="906"/>
      <c r="I54" s="426" t="str">
        <f t="shared" si="7"/>
        <v/>
      </c>
      <c r="J54" s="1327" t="str">
        <f t="shared" si="20"/>
        <v/>
      </c>
      <c r="K54" s="1320" t="str">
        <f t="shared" si="21"/>
        <v/>
      </c>
      <c r="L54" s="1321"/>
      <c r="M54" s="1311"/>
      <c r="N54" s="1322"/>
      <c r="O54" s="1322"/>
      <c r="P54" s="1311"/>
      <c r="Q54" s="1401"/>
      <c r="R54" s="1399"/>
      <c r="S54" s="1323" t="str">
        <f t="shared" si="22"/>
        <v/>
      </c>
      <c r="T54" s="1337"/>
      <c r="U54" s="1324" t="str">
        <f t="shared" si="8"/>
        <v/>
      </c>
      <c r="V54" s="1332" t="str">
        <f t="shared" si="23"/>
        <v/>
      </c>
      <c r="W54" s="1333"/>
      <c r="X54" s="1325" t="str">
        <f t="shared" si="24"/>
        <v/>
      </c>
      <c r="Y54" s="1326" t="str">
        <f t="shared" si="9"/>
        <v/>
      </c>
      <c r="Z54" s="1230" t="str" cm="1">
        <f t="array" ref="Z54">IF(M54="","",IF(P54=AM54,1,Slookup(MID(AM54,1,3)*1,UomConversion!$D$8:$J$500,5,UomConversion!$E$8:$E$500,MID(P54,1,3)*1,UomConversion!$J$8:$J$500,1)))</f>
        <v/>
      </c>
      <c r="AA54" s="1230" t="str">
        <f t="shared" si="10"/>
        <v/>
      </c>
      <c r="AB54" s="1231" t="str">
        <f t="shared" si="11"/>
        <v/>
      </c>
      <c r="AC54" s="1232" t="str">
        <f t="shared" si="12"/>
        <v/>
      </c>
      <c r="AD54" s="1230" t="str">
        <f>IF(M54="","",VLOOKUP(I54,product_list,12,FALSE))</f>
        <v/>
      </c>
      <c r="AE54" s="1231" t="str">
        <f>IFERROR(IF(M54="","",IF(invoice_price_type_id=1,VLOOKUP(I54,product_list,13,FALSE),IF(invoice_price_type_id=2,VLOOKUP(I54,product_list,14,FALSE),IF(invoice_price_type_id=3,VLOOKUP(I54,product_list,15,FALSE),IF(invoice_price_type_id=4,VLOOKUP(I54,product_list,16,FALSE),IF(invoice_price_type_id=5,VLOOKUP(I54,product_list,12,FALSE),"")))))),"")</f>
        <v/>
      </c>
      <c r="AF54" s="1233" t="str">
        <f t="shared" si="13"/>
        <v/>
      </c>
      <c r="AG54" s="1230" t="str">
        <f>IF(I54="","",IF(ISNA(MATCH(I54,IF(invoice_location_id=1,'[1]1_inventory_totals'!$C$8:$C$10000,IF(invoice_location_id=2,'[1]2_inventory_totals'!$C$8:$C$10000,0)),0)),0,IF(AU54&gt;0,1,0)))</f>
        <v/>
      </c>
      <c r="AH54" s="1230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I54" s="1230" t="str">
        <f>IF(M54="","",IF(ISNA(MATCH(I54,'[1]1_group_totals'!$C$8:$C$10000)),0,IF(AV54&gt;0,1,0)))</f>
        <v/>
      </c>
      <c r="AJ54" s="1230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K54" s="1230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L54" s="1230" t="str">
        <f>IF(M54="","",SUMIFS('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M54" s="1230" t="str">
        <f>IF(M54="","",VLOOKUP(I54,product_list,11,FALSE))</f>
        <v/>
      </c>
      <c r="AN54" s="1230" t="str">
        <f>IF(OR(ISNA(MATCH(MID(AM54,1,3)*1,UomConversion!$D$8:$D$500,0)),M54=""),"",IF(AS54="","",AS54))</f>
        <v/>
      </c>
      <c r="AO54" s="1230" t="str">
        <f>IF(AND(AP54&gt;0,COUNTIFS(UomConversion!$D$8:$D$500,MID(AM54,1,3)*1,UomConversion!$J$8:$J$500,1)&gt;1),TEXT(AP54,"000")&amp;"."&amp;VLOOKUP(AP54,uom_list,4,FALSE),"")</f>
        <v/>
      </c>
      <c r="AP54" s="1230" t="str">
        <f t="shared" si="14"/>
        <v/>
      </c>
      <c r="AQ54" s="1230" t="str">
        <f t="shared" si="15"/>
        <v/>
      </c>
      <c r="AR54" s="204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S54" s="126" t="str">
        <f t="shared" si="16"/>
        <v/>
      </c>
      <c r="AT54" s="126" t="str" cm="1">
        <f t="array" ref="AT54">IF(M54="","",IF(ISNA(Slookup(MID(AM54,1,3)*1,UomConversion!$D$8:$J$500,2,UomConversion!$I$8:$I$500,1,UomConversion!$J$8:$J$500,1)),"",Slookup(MID(AM54,1,3)*1,UomConversion!$D$8:$J$500,2,UomConversion!$I$8:$I$500,1,UomConversion!$J$8:$J$500,1)))</f>
        <v/>
      </c>
      <c r="AU54" s="12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V54" s="143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W54" s="204" t="str">
        <f t="shared" si="17"/>
        <v/>
      </c>
      <c r="AX54" s="204" t="str">
        <f>IF(M54="","",SUMIFS($AW$8:AW54,$I$8:I54,I54))</f>
        <v/>
      </c>
      <c r="AY54" s="204" t="str">
        <f t="shared" si="18"/>
        <v/>
      </c>
    </row>
    <row r="55" spans="1:51" ht="27" customHeight="1">
      <c r="A55" s="765"/>
      <c r="B55" s="1358"/>
      <c r="C55" s="984"/>
      <c r="D55" s="984"/>
      <c r="E55" s="984"/>
      <c r="F55" s="1369"/>
      <c r="G55" s="213"/>
      <c r="H55" s="906"/>
      <c r="I55" s="426" t="str">
        <f t="shared" si="7"/>
        <v/>
      </c>
      <c r="J55" s="1327" t="str">
        <f t="shared" si="20"/>
        <v/>
      </c>
      <c r="K55" s="1320" t="str">
        <f t="shared" si="21"/>
        <v/>
      </c>
      <c r="L55" s="1321"/>
      <c r="M55" s="1311"/>
      <c r="N55" s="1322"/>
      <c r="O55" s="1322"/>
      <c r="P55" s="1311"/>
      <c r="Q55" s="1401"/>
      <c r="R55" s="1399"/>
      <c r="S55" s="1323" t="str">
        <f t="shared" si="22"/>
        <v/>
      </c>
      <c r="T55" s="1337"/>
      <c r="U55" s="1324" t="str">
        <f t="shared" si="8"/>
        <v/>
      </c>
      <c r="V55" s="1332" t="str">
        <f t="shared" si="23"/>
        <v/>
      </c>
      <c r="W55" s="1333"/>
      <c r="X55" s="1325" t="str">
        <f t="shared" si="24"/>
        <v/>
      </c>
      <c r="Y55" s="1326" t="str">
        <f t="shared" si="9"/>
        <v/>
      </c>
      <c r="Z55" s="1230" t="str" cm="1">
        <f t="array" ref="Z55">IF(M55="","",IF(P55=AM55,1,Slookup(MID(AM55,1,3)*1,UomConversion!$D$8:$J$500,5,UomConversion!$E$8:$E$500,MID(P55,1,3)*1,UomConversion!$J$8:$J$500,1)))</f>
        <v/>
      </c>
      <c r="AA55" s="1230" t="str">
        <f t="shared" si="10"/>
        <v/>
      </c>
      <c r="AB55" s="1231" t="str">
        <f t="shared" si="11"/>
        <v/>
      </c>
      <c r="AC55" s="1232" t="str">
        <f t="shared" si="12"/>
        <v/>
      </c>
      <c r="AD55" s="1230" t="str">
        <f>IF(M55="","",VLOOKUP(I55,product_list,12,FALSE))</f>
        <v/>
      </c>
      <c r="AE55" s="1231" t="str">
        <f>IFERROR(IF(M55="","",IF(invoice_price_type_id=1,VLOOKUP(I55,product_list,13,FALSE),IF(invoice_price_type_id=2,VLOOKUP(I55,product_list,14,FALSE),IF(invoice_price_type_id=3,VLOOKUP(I55,product_list,15,FALSE),IF(invoice_price_type_id=4,VLOOKUP(I55,product_list,16,FALSE),IF(invoice_price_type_id=5,VLOOKUP(I55,product_list,12,FALSE),"")))))),"")</f>
        <v/>
      </c>
      <c r="AF55" s="1233" t="str">
        <f t="shared" si="13"/>
        <v/>
      </c>
      <c r="AG55" s="1230" t="str">
        <f>IF(I55="","",IF(ISNA(MATCH(I55,IF(invoice_location_id=1,'[1]1_inventory_totals'!$C$8:$C$10000,IF(invoice_location_id=2,'[1]2_inventory_totals'!$C$8:$C$10000,0)),0)),0,IF(AU55&gt;0,1,0)))</f>
        <v/>
      </c>
      <c r="AH55" s="1230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I55" s="1230" t="str">
        <f>IF(M55="","",IF(ISNA(MATCH(I55,'[1]1_group_totals'!$C$8:$C$10000)),0,IF(AV55&gt;0,1,0)))</f>
        <v/>
      </c>
      <c r="AJ55" s="1230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K55" s="1230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L55" s="1230" t="str">
        <f>IF(M55="","",SUMIFS('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M55" s="1230" t="str">
        <f>IF(M55="","",VLOOKUP(I55,product_list,11,FALSE))</f>
        <v/>
      </c>
      <c r="AN55" s="1230" t="str">
        <f>IF(OR(ISNA(MATCH(MID(AM55,1,3)*1,UomConversion!$D$8:$D$500,0)),M55=""),"",IF(AS55="","",AS55))</f>
        <v/>
      </c>
      <c r="AO55" s="1230" t="str">
        <f>IF(AND(AP55&gt;0,COUNTIFS(UomConversion!$D$8:$D$500,MID(AM55,1,3)*1,UomConversion!$J$8:$J$500,1)&gt;1),TEXT(AP55,"000")&amp;"."&amp;VLOOKUP(AP55,uom_list,4,FALSE),"")</f>
        <v/>
      </c>
      <c r="AP55" s="1230" t="str">
        <f t="shared" si="14"/>
        <v/>
      </c>
      <c r="AQ55" s="1230" t="str">
        <f t="shared" si="15"/>
        <v/>
      </c>
      <c r="AR55" s="204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S55" s="126" t="str">
        <f t="shared" si="16"/>
        <v/>
      </c>
      <c r="AT55" s="126" t="str" cm="1">
        <f t="array" ref="AT55">IF(M55="","",IF(ISNA(Slookup(MID(AM55,1,3)*1,UomConversion!$D$8:$J$500,2,UomConversion!$I$8:$I$500,1,UomConversion!$J$8:$J$500,1)),"",Slookup(MID(AM55,1,3)*1,UomConversion!$D$8:$J$500,2,UomConversion!$I$8:$I$500,1,UomConversion!$J$8:$J$500,1)))</f>
        <v/>
      </c>
      <c r="AU55" s="12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V55" s="143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W55" s="204" t="str">
        <f t="shared" si="17"/>
        <v/>
      </c>
      <c r="AX55" s="204" t="str">
        <f>IF(M55="","",SUMIFS($AW$8:AW55,$I$8:I55,I55))</f>
        <v/>
      </c>
      <c r="AY55" s="204" t="str">
        <f t="shared" si="18"/>
        <v/>
      </c>
    </row>
    <row r="56" spans="1:51" ht="27" customHeight="1">
      <c r="A56" s="765"/>
      <c r="B56" s="1358"/>
      <c r="C56" s="984"/>
      <c r="D56" s="984"/>
      <c r="E56" s="984"/>
      <c r="F56" s="1369"/>
      <c r="G56" s="213"/>
      <c r="H56" s="906"/>
      <c r="I56" s="426" t="str">
        <f t="shared" si="7"/>
        <v/>
      </c>
      <c r="J56" s="1327" t="str">
        <f t="shared" si="20"/>
        <v/>
      </c>
      <c r="K56" s="1320" t="str">
        <f t="shared" si="21"/>
        <v/>
      </c>
      <c r="L56" s="1321"/>
      <c r="M56" s="1311"/>
      <c r="N56" s="1322"/>
      <c r="O56" s="1322"/>
      <c r="P56" s="1311"/>
      <c r="Q56" s="1401"/>
      <c r="R56" s="1399"/>
      <c r="S56" s="1323" t="str">
        <f t="shared" si="22"/>
        <v/>
      </c>
      <c r="T56" s="1337"/>
      <c r="U56" s="1324" t="str">
        <f t="shared" si="8"/>
        <v/>
      </c>
      <c r="V56" s="1332" t="str">
        <f t="shared" si="23"/>
        <v/>
      </c>
      <c r="W56" s="1333"/>
      <c r="X56" s="1325" t="str">
        <f t="shared" si="24"/>
        <v/>
      </c>
      <c r="Y56" s="1326" t="str">
        <f t="shared" si="9"/>
        <v/>
      </c>
      <c r="Z56" s="1230" t="str" cm="1">
        <f t="array" ref="Z56">IF(M56="","",IF(P56=AM56,1,Slookup(MID(AM56,1,3)*1,UomConversion!$D$8:$J$500,5,UomConversion!$E$8:$E$500,MID(P56,1,3)*1,UomConversion!$J$8:$J$500,1)))</f>
        <v/>
      </c>
      <c r="AA56" s="1230" t="str">
        <f t="shared" si="10"/>
        <v/>
      </c>
      <c r="AB56" s="1231" t="str">
        <f t="shared" si="11"/>
        <v/>
      </c>
      <c r="AC56" s="1232" t="str">
        <f t="shared" si="12"/>
        <v/>
      </c>
      <c r="AD56" s="1230" t="str">
        <f>IF(M56="","",VLOOKUP(I56,product_list,12,FALSE))</f>
        <v/>
      </c>
      <c r="AE56" s="1231" t="str">
        <f>IFERROR(IF(M56="","",IF(invoice_price_type_id=1,VLOOKUP(I56,product_list,13,FALSE),IF(invoice_price_type_id=2,VLOOKUP(I56,product_list,14,FALSE),IF(invoice_price_type_id=3,VLOOKUP(I56,product_list,15,FALSE),IF(invoice_price_type_id=4,VLOOKUP(I56,product_list,16,FALSE),IF(invoice_price_type_id=5,VLOOKUP(I56,product_list,12,FALSE),"")))))),"")</f>
        <v/>
      </c>
      <c r="AF56" s="1233" t="str">
        <f t="shared" si="13"/>
        <v/>
      </c>
      <c r="AG56" s="1230" t="str">
        <f>IF(I56="","",IF(ISNA(MATCH(I56,IF(invoice_location_id=1,'[1]1_inventory_totals'!$C$8:$C$10000,IF(invoice_location_id=2,'[1]2_inventory_totals'!$C$8:$C$10000,0)),0)),0,IF(AU56&gt;0,1,0)))</f>
        <v/>
      </c>
      <c r="AH56" s="1230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I56" s="1230" t="str">
        <f>IF(M56="","",IF(ISNA(MATCH(I56,'[1]1_group_totals'!$C$8:$C$10000)),0,IF(AV56&gt;0,1,0)))</f>
        <v/>
      </c>
      <c r="AJ56" s="1230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K56" s="1230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L56" s="1230" t="str">
        <f>IF(M56="","",SUMIFS('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M56" s="1230" t="str">
        <f>IF(M56="","",VLOOKUP(I56,product_list,11,FALSE))</f>
        <v/>
      </c>
      <c r="AN56" s="1230" t="str">
        <f>IF(OR(ISNA(MATCH(MID(AM56,1,3)*1,UomConversion!$D$8:$D$500,0)),M56=""),"",IF(AS56="","",AS56))</f>
        <v/>
      </c>
      <c r="AO56" s="1230" t="str">
        <f>IF(AND(AP56&gt;0,COUNTIFS(UomConversion!$D$8:$D$500,MID(AM56,1,3)*1,UomConversion!$J$8:$J$500,1)&gt;1),TEXT(AP56,"000")&amp;"."&amp;VLOOKUP(AP56,uom_list,4,FALSE),"")</f>
        <v/>
      </c>
      <c r="AP56" s="1230" t="str">
        <f t="shared" si="14"/>
        <v/>
      </c>
      <c r="AQ56" s="1230" t="str">
        <f t="shared" si="15"/>
        <v/>
      </c>
      <c r="AR56" s="204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S56" s="126" t="str">
        <f t="shared" si="16"/>
        <v/>
      </c>
      <c r="AT56" s="126" t="str" cm="1">
        <f t="array" ref="AT56">IF(M56="","",IF(ISNA(Slookup(MID(AM56,1,3)*1,UomConversion!$D$8:$J$500,2,UomConversion!$I$8:$I$500,1,UomConversion!$J$8:$J$500,1)),"",Slookup(MID(AM56,1,3)*1,UomConversion!$D$8:$J$500,2,UomConversion!$I$8:$I$500,1,UomConversion!$J$8:$J$500,1)))</f>
        <v/>
      </c>
      <c r="AU56" s="12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V56" s="143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W56" s="204" t="str">
        <f t="shared" si="17"/>
        <v/>
      </c>
      <c r="AX56" s="204" t="str">
        <f>IF(M56="","",SUMIFS($AW$8:AW56,$I$8:I56,I56))</f>
        <v/>
      </c>
      <c r="AY56" s="204" t="str">
        <f t="shared" si="18"/>
        <v/>
      </c>
    </row>
    <row r="57" spans="1:51" ht="27" customHeight="1">
      <c r="A57" s="765"/>
      <c r="B57" s="1358"/>
      <c r="C57" s="984"/>
      <c r="D57" s="984"/>
      <c r="E57" s="984"/>
      <c r="F57" s="1369"/>
      <c r="G57" s="213"/>
      <c r="H57" s="906"/>
      <c r="I57" s="426" t="str">
        <f t="shared" si="7"/>
        <v/>
      </c>
      <c r="J57" s="1327" t="str">
        <f t="shared" si="20"/>
        <v/>
      </c>
      <c r="K57" s="1320" t="str">
        <f t="shared" si="21"/>
        <v/>
      </c>
      <c r="L57" s="1321"/>
      <c r="M57" s="1311"/>
      <c r="N57" s="1322"/>
      <c r="O57" s="1322"/>
      <c r="P57" s="1311"/>
      <c r="Q57" s="1401"/>
      <c r="R57" s="1399"/>
      <c r="S57" s="1323" t="str">
        <f t="shared" si="22"/>
        <v/>
      </c>
      <c r="T57" s="1337"/>
      <c r="U57" s="1324" t="str">
        <f t="shared" si="8"/>
        <v/>
      </c>
      <c r="V57" s="1332" t="str">
        <f t="shared" si="23"/>
        <v/>
      </c>
      <c r="W57" s="1333"/>
      <c r="X57" s="1325" t="str">
        <f t="shared" si="24"/>
        <v/>
      </c>
      <c r="Y57" s="1326" t="str">
        <f t="shared" si="9"/>
        <v/>
      </c>
      <c r="Z57" s="1230" t="str" cm="1">
        <f t="array" ref="Z57">IF(M57="","",IF(P57=AM57,1,Slookup(MID(AM57,1,3)*1,UomConversion!$D$8:$J$500,5,UomConversion!$E$8:$E$500,MID(P57,1,3)*1,UomConversion!$J$8:$J$500,1)))</f>
        <v/>
      </c>
      <c r="AA57" s="1230" t="str">
        <f t="shared" si="10"/>
        <v/>
      </c>
      <c r="AB57" s="1231" t="str">
        <f t="shared" si="11"/>
        <v/>
      </c>
      <c r="AC57" s="1232" t="str">
        <f t="shared" si="12"/>
        <v/>
      </c>
      <c r="AD57" s="1230" t="str">
        <f>IF(M57="","",VLOOKUP(I57,product_list,12,FALSE))</f>
        <v/>
      </c>
      <c r="AE57" s="1231" t="str">
        <f>IFERROR(IF(M57="","",IF(invoice_price_type_id=1,VLOOKUP(I57,product_list,13,FALSE),IF(invoice_price_type_id=2,VLOOKUP(I57,product_list,14,FALSE),IF(invoice_price_type_id=3,VLOOKUP(I57,product_list,15,FALSE),IF(invoice_price_type_id=4,VLOOKUP(I57,product_list,16,FALSE),IF(invoice_price_type_id=5,VLOOKUP(I57,product_list,12,FALSE),"")))))),"")</f>
        <v/>
      </c>
      <c r="AF57" s="1233" t="str">
        <f t="shared" si="13"/>
        <v/>
      </c>
      <c r="AG57" s="1230" t="str">
        <f>IF(I57="","",IF(ISNA(MATCH(I57,IF(invoice_location_id=1,'[1]1_inventory_totals'!$C$8:$C$10000,IF(invoice_location_id=2,'[1]2_inventory_totals'!$C$8:$C$10000,0)),0)),0,IF(AU57&gt;0,1,0)))</f>
        <v/>
      </c>
      <c r="AH57" s="1230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I57" s="1230" t="str">
        <f>IF(M57="","",IF(ISNA(MATCH(I57,'[1]1_group_totals'!$C$8:$C$10000)),0,IF(AV57&gt;0,1,0)))</f>
        <v/>
      </c>
      <c r="AJ57" s="1230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K57" s="1230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L57" s="1230" t="str">
        <f>IF(M57="","",SUMIFS('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M57" s="1230" t="str">
        <f>IF(M57="","",VLOOKUP(I57,product_list,11,FALSE))</f>
        <v/>
      </c>
      <c r="AN57" s="1230" t="str">
        <f>IF(OR(ISNA(MATCH(MID(AM57,1,3)*1,UomConversion!$D$8:$D$500,0)),M57=""),"",IF(AS57="","",AS57))</f>
        <v/>
      </c>
      <c r="AO57" s="1230" t="str">
        <f>IF(AND(AP57&gt;0,COUNTIFS(UomConversion!$D$8:$D$500,MID(AM57,1,3)*1,UomConversion!$J$8:$J$500,1)&gt;1),TEXT(AP57,"000")&amp;"."&amp;VLOOKUP(AP57,uom_list,4,FALSE),"")</f>
        <v/>
      </c>
      <c r="AP57" s="1230" t="str">
        <f t="shared" si="14"/>
        <v/>
      </c>
      <c r="AQ57" s="1230" t="str">
        <f t="shared" si="15"/>
        <v/>
      </c>
      <c r="AR57" s="204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S57" s="126" t="str">
        <f t="shared" si="16"/>
        <v/>
      </c>
      <c r="AT57" s="126" t="str" cm="1">
        <f t="array" ref="AT57">IF(M57="","",IF(ISNA(Slookup(MID(AM57,1,3)*1,UomConversion!$D$8:$J$500,2,UomConversion!$I$8:$I$500,1,UomConversion!$J$8:$J$500,1)),"",Slookup(MID(AM57,1,3)*1,UomConversion!$D$8:$J$500,2,UomConversion!$I$8:$I$500,1,UomConversion!$J$8:$J$500,1)))</f>
        <v/>
      </c>
      <c r="AU57" s="12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V57" s="143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W57" s="204" t="str">
        <f t="shared" si="17"/>
        <v/>
      </c>
      <c r="AX57" s="204" t="str">
        <f>IF(M57="","",SUMIFS($AW$8:AW57,$I$8:I57,I57))</f>
        <v/>
      </c>
      <c r="AY57" s="204" t="str">
        <f t="shared" si="18"/>
        <v/>
      </c>
    </row>
    <row r="58" spans="1:51" ht="27" customHeight="1">
      <c r="A58" s="765"/>
      <c r="B58" s="1358"/>
      <c r="C58" s="984"/>
      <c r="D58" s="984"/>
      <c r="E58" s="984"/>
      <c r="F58" s="1369"/>
      <c r="G58" s="213"/>
      <c r="H58" s="906"/>
      <c r="I58" s="426" t="str">
        <f t="shared" si="7"/>
        <v/>
      </c>
      <c r="J58" s="1327" t="str">
        <f t="shared" si="20"/>
        <v/>
      </c>
      <c r="K58" s="1320" t="str">
        <f t="shared" si="21"/>
        <v/>
      </c>
      <c r="L58" s="1321"/>
      <c r="M58" s="1311"/>
      <c r="N58" s="1322"/>
      <c r="O58" s="1322"/>
      <c r="P58" s="1311"/>
      <c r="Q58" s="1401"/>
      <c r="R58" s="1399"/>
      <c r="S58" s="1323" t="str">
        <f t="shared" si="22"/>
        <v/>
      </c>
      <c r="T58" s="1337"/>
      <c r="U58" s="1324" t="str">
        <f t="shared" si="8"/>
        <v/>
      </c>
      <c r="V58" s="1332" t="str">
        <f t="shared" si="23"/>
        <v/>
      </c>
      <c r="W58" s="1333"/>
      <c r="X58" s="1325" t="str">
        <f t="shared" si="24"/>
        <v/>
      </c>
      <c r="Y58" s="1326" t="str">
        <f t="shared" si="9"/>
        <v/>
      </c>
      <c r="Z58" s="1230" t="str" cm="1">
        <f t="array" ref="Z58">IF(M58="","",IF(P58=AM58,1,Slookup(MID(AM58,1,3)*1,UomConversion!$D$8:$J$500,5,UomConversion!$E$8:$E$500,MID(P58,1,3)*1,UomConversion!$J$8:$J$500,1)))</f>
        <v/>
      </c>
      <c r="AA58" s="1230" t="str">
        <f t="shared" si="10"/>
        <v/>
      </c>
      <c r="AB58" s="1231" t="str">
        <f t="shared" si="11"/>
        <v/>
      </c>
      <c r="AC58" s="1232" t="str">
        <f t="shared" si="12"/>
        <v/>
      </c>
      <c r="AD58" s="1230" t="str">
        <f>IF(M58="","",VLOOKUP(I58,product_list,12,FALSE))</f>
        <v/>
      </c>
      <c r="AE58" s="1231" t="str">
        <f>IFERROR(IF(M58="","",IF(invoice_price_type_id=1,VLOOKUP(I58,product_list,13,FALSE),IF(invoice_price_type_id=2,VLOOKUP(I58,product_list,14,FALSE),IF(invoice_price_type_id=3,VLOOKUP(I58,product_list,15,FALSE),IF(invoice_price_type_id=4,VLOOKUP(I58,product_list,16,FALSE),IF(invoice_price_type_id=5,VLOOKUP(I58,product_list,12,FALSE),"")))))),"")</f>
        <v/>
      </c>
      <c r="AF58" s="1233" t="str">
        <f t="shared" si="13"/>
        <v/>
      </c>
      <c r="AG58" s="1230" t="str">
        <f>IF(I58="","",IF(ISNA(MATCH(I58,IF(invoice_location_id=1,'[1]1_inventory_totals'!$C$8:$C$10000,IF(invoice_location_id=2,'[1]2_inventory_totals'!$C$8:$C$10000,0)),0)),0,IF(AU58&gt;0,1,0)))</f>
        <v/>
      </c>
      <c r="AH58" s="1230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I58" s="1230" t="str">
        <f>IF(M58="","",IF(ISNA(MATCH(I58,'[1]1_group_totals'!$C$8:$C$10000)),0,IF(AV58&gt;0,1,0)))</f>
        <v/>
      </c>
      <c r="AJ58" s="1230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K58" s="1230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L58" s="1230" t="str">
        <f>IF(M58="","",SUMIFS('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M58" s="1230" t="str">
        <f>IF(M58="","",VLOOKUP(I58,product_list,11,FALSE))</f>
        <v/>
      </c>
      <c r="AN58" s="1230" t="str">
        <f>IF(OR(ISNA(MATCH(MID(AM58,1,3)*1,UomConversion!$D$8:$D$500,0)),M58=""),"",IF(AS58="","",AS58))</f>
        <v/>
      </c>
      <c r="AO58" s="1230" t="str">
        <f>IF(AND(AP58&gt;0,COUNTIFS(UomConversion!$D$8:$D$500,MID(AM58,1,3)*1,UomConversion!$J$8:$J$500,1)&gt;1),TEXT(AP58,"000")&amp;"."&amp;VLOOKUP(AP58,uom_list,4,FALSE),"")</f>
        <v/>
      </c>
      <c r="AP58" s="1230" t="str">
        <f t="shared" si="14"/>
        <v/>
      </c>
      <c r="AQ58" s="1230" t="str">
        <f t="shared" si="15"/>
        <v/>
      </c>
      <c r="AR58" s="204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S58" s="126" t="str">
        <f t="shared" si="16"/>
        <v/>
      </c>
      <c r="AT58" s="126" t="str" cm="1">
        <f t="array" ref="AT58">IF(M58="","",IF(ISNA(Slookup(MID(AM58,1,3)*1,UomConversion!$D$8:$J$500,2,UomConversion!$I$8:$I$500,1,UomConversion!$J$8:$J$500,1)),"",Slookup(MID(AM58,1,3)*1,UomConversion!$D$8:$J$500,2,UomConversion!$I$8:$I$500,1,UomConversion!$J$8:$J$500,1)))</f>
        <v/>
      </c>
      <c r="AU58" s="12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V58" s="143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W58" s="204" t="str">
        <f t="shared" si="17"/>
        <v/>
      </c>
      <c r="AX58" s="204" t="str">
        <f>IF(M58="","",SUMIFS($AW$8:AW58,$I$8:I58,I58))</f>
        <v/>
      </c>
      <c r="AY58" s="204" t="str">
        <f t="shared" si="18"/>
        <v/>
      </c>
    </row>
    <row r="59" spans="1:51" ht="27" customHeight="1">
      <c r="A59" s="765"/>
      <c r="B59" s="1358"/>
      <c r="C59" s="984"/>
      <c r="D59" s="984"/>
      <c r="E59" s="984"/>
      <c r="F59" s="1369"/>
      <c r="G59" s="213"/>
      <c r="H59" s="906"/>
      <c r="I59" s="426" t="str">
        <f t="shared" si="7"/>
        <v/>
      </c>
      <c r="J59" s="1327" t="str">
        <f t="shared" si="20"/>
        <v/>
      </c>
      <c r="K59" s="1320" t="str">
        <f t="shared" si="21"/>
        <v/>
      </c>
      <c r="L59" s="1321"/>
      <c r="M59" s="1311"/>
      <c r="N59" s="1322"/>
      <c r="O59" s="1322"/>
      <c r="P59" s="1311"/>
      <c r="Q59" s="1401"/>
      <c r="R59" s="1399"/>
      <c r="S59" s="1323" t="str">
        <f t="shared" si="22"/>
        <v/>
      </c>
      <c r="T59" s="1337"/>
      <c r="U59" s="1324" t="str">
        <f t="shared" si="8"/>
        <v/>
      </c>
      <c r="V59" s="1332" t="str">
        <f t="shared" si="23"/>
        <v/>
      </c>
      <c r="W59" s="1333"/>
      <c r="X59" s="1325" t="str">
        <f t="shared" si="24"/>
        <v/>
      </c>
      <c r="Y59" s="1326" t="str">
        <f t="shared" si="9"/>
        <v/>
      </c>
      <c r="Z59" s="1230" t="str" cm="1">
        <f t="array" ref="Z59">IF(M59="","",IF(P59=AM59,1,Slookup(MID(AM59,1,3)*1,UomConversion!$D$8:$J$500,5,UomConversion!$E$8:$E$500,MID(P59,1,3)*1,UomConversion!$J$8:$J$500,1)))</f>
        <v/>
      </c>
      <c r="AA59" s="1230" t="str">
        <f t="shared" si="10"/>
        <v/>
      </c>
      <c r="AB59" s="1231" t="str">
        <f t="shared" si="11"/>
        <v/>
      </c>
      <c r="AC59" s="1232" t="str">
        <f t="shared" si="12"/>
        <v/>
      </c>
      <c r="AD59" s="1230" t="str">
        <f>IF(M59="","",VLOOKUP(I59,product_list,12,FALSE))</f>
        <v/>
      </c>
      <c r="AE59" s="1231" t="str">
        <f>IFERROR(IF(M59="","",IF(invoice_price_type_id=1,VLOOKUP(I59,product_list,13,FALSE),IF(invoice_price_type_id=2,VLOOKUP(I59,product_list,14,FALSE),IF(invoice_price_type_id=3,VLOOKUP(I59,product_list,15,FALSE),IF(invoice_price_type_id=4,VLOOKUP(I59,product_list,16,FALSE),IF(invoice_price_type_id=5,VLOOKUP(I59,product_list,12,FALSE),"")))))),"")</f>
        <v/>
      </c>
      <c r="AF59" s="1233" t="str">
        <f t="shared" si="13"/>
        <v/>
      </c>
      <c r="AG59" s="1230" t="str">
        <f>IF(I59="","",IF(ISNA(MATCH(I59,IF(invoice_location_id=1,'[1]1_inventory_totals'!$C$8:$C$10000,IF(invoice_location_id=2,'[1]2_inventory_totals'!$C$8:$C$10000,0)),0)),0,IF(AU59&gt;0,1,0)))</f>
        <v/>
      </c>
      <c r="AH59" s="1230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I59" s="1230" t="str">
        <f>IF(M59="","",IF(ISNA(MATCH(I59,'[1]1_group_totals'!$C$8:$C$10000)),0,IF(AV59&gt;0,1,0)))</f>
        <v/>
      </c>
      <c r="AJ59" s="1230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K59" s="1230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L59" s="1230" t="str">
        <f>IF(M59="","",SUMIFS('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M59" s="1230" t="str">
        <f>IF(M59="","",VLOOKUP(I59,product_list,11,FALSE))</f>
        <v/>
      </c>
      <c r="AN59" s="1230" t="str">
        <f>IF(OR(ISNA(MATCH(MID(AM59,1,3)*1,UomConversion!$D$8:$D$500,0)),M59=""),"",IF(AS59="","",AS59))</f>
        <v/>
      </c>
      <c r="AO59" s="1230" t="str">
        <f>IF(AND(AP59&gt;0,COUNTIFS(UomConversion!$D$8:$D$500,MID(AM59,1,3)*1,UomConversion!$J$8:$J$500,1)&gt;1),TEXT(AP59,"000")&amp;"."&amp;VLOOKUP(AP59,uom_list,4,FALSE),"")</f>
        <v/>
      </c>
      <c r="AP59" s="1230" t="str">
        <f t="shared" si="14"/>
        <v/>
      </c>
      <c r="AQ59" s="1230" t="str">
        <f t="shared" si="15"/>
        <v/>
      </c>
      <c r="AR59" s="204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S59" s="126" t="str">
        <f t="shared" si="16"/>
        <v/>
      </c>
      <c r="AT59" s="126" t="str" cm="1">
        <f t="array" ref="AT59">IF(M59="","",IF(ISNA(Slookup(MID(AM59,1,3)*1,UomConversion!$D$8:$J$500,2,UomConversion!$I$8:$I$500,1,UomConversion!$J$8:$J$500,1)),"",Slookup(MID(AM59,1,3)*1,UomConversion!$D$8:$J$500,2,UomConversion!$I$8:$I$500,1,UomConversion!$J$8:$J$500,1)))</f>
        <v/>
      </c>
      <c r="AU59" s="12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V59" s="143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W59" s="204" t="str">
        <f t="shared" si="17"/>
        <v/>
      </c>
      <c r="AX59" s="204" t="str">
        <f>IF(M59="","",SUMIFS($AW$8:AW59,$I$8:I59,I59))</f>
        <v/>
      </c>
      <c r="AY59" s="204" t="str">
        <f t="shared" si="18"/>
        <v/>
      </c>
    </row>
    <row r="60" spans="1:51" ht="27" customHeight="1">
      <c r="A60" s="765"/>
      <c r="B60" s="1358"/>
      <c r="C60" s="984"/>
      <c r="D60" s="984"/>
      <c r="E60" s="984"/>
      <c r="F60" s="1369"/>
      <c r="G60" s="213"/>
      <c r="H60" s="906"/>
      <c r="I60" s="426" t="str">
        <f t="shared" si="7"/>
        <v/>
      </c>
      <c r="J60" s="1327" t="str">
        <f t="shared" si="20"/>
        <v/>
      </c>
      <c r="K60" s="1320" t="str">
        <f t="shared" si="21"/>
        <v/>
      </c>
      <c r="L60" s="1321"/>
      <c r="M60" s="1311"/>
      <c r="N60" s="1322"/>
      <c r="O60" s="1322"/>
      <c r="P60" s="1311"/>
      <c r="Q60" s="1401"/>
      <c r="R60" s="1399"/>
      <c r="S60" s="1323" t="str">
        <f t="shared" si="22"/>
        <v/>
      </c>
      <c r="T60" s="1337"/>
      <c r="U60" s="1324" t="str">
        <f t="shared" si="8"/>
        <v/>
      </c>
      <c r="V60" s="1332" t="str">
        <f t="shared" si="23"/>
        <v/>
      </c>
      <c r="W60" s="1333"/>
      <c r="X60" s="1325" t="str">
        <f t="shared" si="24"/>
        <v/>
      </c>
      <c r="Y60" s="1326" t="str">
        <f t="shared" si="9"/>
        <v/>
      </c>
      <c r="Z60" s="1230" t="str" cm="1">
        <f t="array" ref="Z60">IF(M60="","",IF(P60=AM60,1,Slookup(MID(AM60,1,3)*1,UomConversion!$D$8:$J$500,5,UomConversion!$E$8:$E$500,MID(P60,1,3)*1,UomConversion!$J$8:$J$500,1)))</f>
        <v/>
      </c>
      <c r="AA60" s="1230" t="str">
        <f t="shared" si="10"/>
        <v/>
      </c>
      <c r="AB60" s="1231" t="str">
        <f t="shared" si="11"/>
        <v/>
      </c>
      <c r="AC60" s="1232" t="str">
        <f t="shared" si="12"/>
        <v/>
      </c>
      <c r="AD60" s="1230" t="str">
        <f>IF(M60="","",VLOOKUP(I60,product_list,12,FALSE))</f>
        <v/>
      </c>
      <c r="AE60" s="1231" t="str">
        <f>IFERROR(IF(M60="","",IF(invoice_price_type_id=1,VLOOKUP(I60,product_list,13,FALSE),IF(invoice_price_type_id=2,VLOOKUP(I60,product_list,14,FALSE),IF(invoice_price_type_id=3,VLOOKUP(I60,product_list,15,FALSE),IF(invoice_price_type_id=4,VLOOKUP(I60,product_list,16,FALSE),IF(invoice_price_type_id=5,VLOOKUP(I60,product_list,12,FALSE),"")))))),"")</f>
        <v/>
      </c>
      <c r="AF60" s="1233" t="str">
        <f t="shared" si="13"/>
        <v/>
      </c>
      <c r="AG60" s="1230" t="str">
        <f>IF(I60="","",IF(ISNA(MATCH(I60,IF(invoice_location_id=1,'[1]1_inventory_totals'!$C$8:$C$10000,IF(invoice_location_id=2,'[1]2_inventory_totals'!$C$8:$C$10000,0)),0)),0,IF(AU60&gt;0,1,0)))</f>
        <v/>
      </c>
      <c r="AH60" s="1230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I60" s="1230" t="str">
        <f>IF(M60="","",IF(ISNA(MATCH(I60,'[1]1_group_totals'!$C$8:$C$10000)),0,IF(AV60&gt;0,1,0)))</f>
        <v/>
      </c>
      <c r="AJ60" s="1230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K60" s="1230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L60" s="1230" t="str">
        <f>IF(M60="","",SUMIFS('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M60" s="1230" t="str">
        <f>IF(M60="","",VLOOKUP(I60,product_list,11,FALSE))</f>
        <v/>
      </c>
      <c r="AN60" s="1230" t="str">
        <f>IF(OR(ISNA(MATCH(MID(AM60,1,3)*1,UomConversion!$D$8:$D$500,0)),M60=""),"",IF(AS60="","",AS60))</f>
        <v/>
      </c>
      <c r="AO60" s="1230" t="str">
        <f>IF(AND(AP60&gt;0,COUNTIFS(UomConversion!$D$8:$D$500,MID(AM60,1,3)*1,UomConversion!$J$8:$J$500,1)&gt;1),TEXT(AP60,"000")&amp;"."&amp;VLOOKUP(AP60,uom_list,4,FALSE),"")</f>
        <v/>
      </c>
      <c r="AP60" s="1230" t="str">
        <f t="shared" si="14"/>
        <v/>
      </c>
      <c r="AQ60" s="1230" t="str">
        <f t="shared" si="15"/>
        <v/>
      </c>
      <c r="AR60" s="204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S60" s="126" t="str">
        <f t="shared" si="16"/>
        <v/>
      </c>
      <c r="AT60" s="126" t="str" cm="1">
        <f t="array" ref="AT60">IF(M60="","",IF(ISNA(Slookup(MID(AM60,1,3)*1,UomConversion!$D$8:$J$500,2,UomConversion!$I$8:$I$500,1,UomConversion!$J$8:$J$500,1)),"",Slookup(MID(AM60,1,3)*1,UomConversion!$D$8:$J$500,2,UomConversion!$I$8:$I$500,1,UomConversion!$J$8:$J$500,1)))</f>
        <v/>
      </c>
      <c r="AU60" s="12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V60" s="143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W60" s="204" t="str">
        <f t="shared" si="17"/>
        <v/>
      </c>
      <c r="AX60" s="204" t="str">
        <f>IF(M60="","",SUMIFS($AW$8:AW60,$I$8:I60,I60))</f>
        <v/>
      </c>
      <c r="AY60" s="204" t="str">
        <f t="shared" si="18"/>
        <v/>
      </c>
    </row>
    <row r="61" spans="1:51" ht="27" customHeight="1">
      <c r="A61" s="765"/>
      <c r="B61" s="1358"/>
      <c r="C61" s="984"/>
      <c r="D61" s="984"/>
      <c r="E61" s="984"/>
      <c r="F61" s="1369"/>
      <c r="G61" s="213"/>
      <c r="H61" s="906"/>
      <c r="I61" s="426" t="str">
        <f t="shared" si="7"/>
        <v/>
      </c>
      <c r="J61" s="1327" t="str">
        <f t="shared" si="20"/>
        <v/>
      </c>
      <c r="K61" s="1320" t="str">
        <f t="shared" si="21"/>
        <v/>
      </c>
      <c r="L61" s="1321"/>
      <c r="M61" s="1311"/>
      <c r="N61" s="1322"/>
      <c r="O61" s="1322"/>
      <c r="P61" s="1311"/>
      <c r="Q61" s="1401"/>
      <c r="R61" s="1399"/>
      <c r="S61" s="1323" t="str">
        <f t="shared" si="22"/>
        <v/>
      </c>
      <c r="T61" s="1337"/>
      <c r="U61" s="1324" t="str">
        <f t="shared" si="8"/>
        <v/>
      </c>
      <c r="V61" s="1332" t="str">
        <f t="shared" si="23"/>
        <v/>
      </c>
      <c r="W61" s="1333"/>
      <c r="X61" s="1325" t="str">
        <f t="shared" si="24"/>
        <v/>
      </c>
      <c r="Y61" s="1326" t="str">
        <f t="shared" si="9"/>
        <v/>
      </c>
      <c r="Z61" s="1230" t="str" cm="1">
        <f t="array" ref="Z61">IF(M61="","",IF(P61=AM61,1,Slookup(MID(AM61,1,3)*1,UomConversion!$D$8:$J$500,5,UomConversion!$E$8:$E$500,MID(P61,1,3)*1,UomConversion!$J$8:$J$500,1)))</f>
        <v/>
      </c>
      <c r="AA61" s="1230" t="str">
        <f t="shared" si="10"/>
        <v/>
      </c>
      <c r="AB61" s="1231" t="str">
        <f t="shared" si="11"/>
        <v/>
      </c>
      <c r="AC61" s="1232" t="str">
        <f t="shared" si="12"/>
        <v/>
      </c>
      <c r="AD61" s="1230" t="str">
        <f>IF(M61="","",VLOOKUP(I61,product_list,12,FALSE))</f>
        <v/>
      </c>
      <c r="AE61" s="1231" t="str">
        <f>IFERROR(IF(M61="","",IF(invoice_price_type_id=1,VLOOKUP(I61,product_list,13,FALSE),IF(invoice_price_type_id=2,VLOOKUP(I61,product_list,14,FALSE),IF(invoice_price_type_id=3,VLOOKUP(I61,product_list,15,FALSE),IF(invoice_price_type_id=4,VLOOKUP(I61,product_list,16,FALSE),IF(invoice_price_type_id=5,VLOOKUP(I61,product_list,12,FALSE),"")))))),"")</f>
        <v/>
      </c>
      <c r="AF61" s="1233" t="str">
        <f t="shared" si="13"/>
        <v/>
      </c>
      <c r="AG61" s="1230" t="str">
        <f>IF(I61="","",IF(ISNA(MATCH(I61,IF(invoice_location_id=1,'[1]1_inventory_totals'!$C$8:$C$10000,IF(invoice_location_id=2,'[1]2_inventory_totals'!$C$8:$C$10000,0)),0)),0,IF(AU61&gt;0,1,0)))</f>
        <v/>
      </c>
      <c r="AH61" s="1230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I61" s="1230" t="str">
        <f>IF(M61="","",IF(ISNA(MATCH(I61,'[1]1_group_totals'!$C$8:$C$10000)),0,IF(AV61&gt;0,1,0)))</f>
        <v/>
      </c>
      <c r="AJ61" s="1230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K61" s="1230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L61" s="1230" t="str">
        <f>IF(M61="","",SUMIFS('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M61" s="1230" t="str">
        <f>IF(M61="","",VLOOKUP(I61,product_list,11,FALSE))</f>
        <v/>
      </c>
      <c r="AN61" s="1230" t="str">
        <f>IF(OR(ISNA(MATCH(MID(AM61,1,3)*1,UomConversion!$D$8:$D$500,0)),M61=""),"",IF(AS61="","",AS61))</f>
        <v/>
      </c>
      <c r="AO61" s="1230" t="str">
        <f>IF(AND(AP61&gt;0,COUNTIFS(UomConversion!$D$8:$D$500,MID(AM61,1,3)*1,UomConversion!$J$8:$J$500,1)&gt;1),TEXT(AP61,"000")&amp;"."&amp;VLOOKUP(AP61,uom_list,4,FALSE),"")</f>
        <v/>
      </c>
      <c r="AP61" s="1230" t="str">
        <f t="shared" si="14"/>
        <v/>
      </c>
      <c r="AQ61" s="1230" t="str">
        <f t="shared" si="15"/>
        <v/>
      </c>
      <c r="AR61" s="204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S61" s="126" t="str">
        <f t="shared" si="16"/>
        <v/>
      </c>
      <c r="AT61" s="126" t="str" cm="1">
        <f t="array" ref="AT61">IF(M61="","",IF(ISNA(Slookup(MID(AM61,1,3)*1,UomConversion!$D$8:$J$500,2,UomConversion!$I$8:$I$500,1,UomConversion!$J$8:$J$500,1)),"",Slookup(MID(AM61,1,3)*1,UomConversion!$D$8:$J$500,2,UomConversion!$I$8:$I$500,1,UomConversion!$J$8:$J$500,1)))</f>
        <v/>
      </c>
      <c r="AU61" s="12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V61" s="143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W61" s="204" t="str">
        <f t="shared" si="17"/>
        <v/>
      </c>
      <c r="AX61" s="204" t="str">
        <f>IF(M61="","",SUMIFS($AW$8:AW61,$I$8:I61,I61))</f>
        <v/>
      </c>
      <c r="AY61" s="204" t="str">
        <f t="shared" si="18"/>
        <v/>
      </c>
    </row>
    <row r="62" spans="1:51" ht="27" customHeight="1">
      <c r="A62" s="765"/>
      <c r="B62" s="1358"/>
      <c r="C62" s="984"/>
      <c r="D62" s="984"/>
      <c r="E62" s="984"/>
      <c r="F62" s="1369"/>
      <c r="G62" s="213"/>
      <c r="H62" s="906"/>
      <c r="I62" s="426" t="str">
        <f t="shared" si="7"/>
        <v/>
      </c>
      <c r="J62" s="1327" t="str">
        <f t="shared" si="20"/>
        <v/>
      </c>
      <c r="K62" s="1320" t="str">
        <f t="shared" si="21"/>
        <v/>
      </c>
      <c r="L62" s="1321"/>
      <c r="M62" s="1311"/>
      <c r="N62" s="1322"/>
      <c r="O62" s="1322"/>
      <c r="P62" s="1311"/>
      <c r="Q62" s="1401"/>
      <c r="R62" s="1399"/>
      <c r="S62" s="1323" t="str">
        <f t="shared" si="22"/>
        <v/>
      </c>
      <c r="T62" s="1337"/>
      <c r="U62" s="1324" t="str">
        <f t="shared" si="8"/>
        <v/>
      </c>
      <c r="V62" s="1332" t="str">
        <f t="shared" si="23"/>
        <v/>
      </c>
      <c r="W62" s="1333"/>
      <c r="X62" s="1325" t="str">
        <f t="shared" si="24"/>
        <v/>
      </c>
      <c r="Y62" s="1326" t="str">
        <f t="shared" si="9"/>
        <v/>
      </c>
      <c r="Z62" s="1230" t="str" cm="1">
        <f t="array" ref="Z62">IF(M62="","",IF(P62=AM62,1,Slookup(MID(AM62,1,3)*1,UomConversion!$D$8:$J$500,5,UomConversion!$E$8:$E$500,MID(P62,1,3)*1,UomConversion!$J$8:$J$500,1)))</f>
        <v/>
      </c>
      <c r="AA62" s="1230" t="str">
        <f t="shared" si="10"/>
        <v/>
      </c>
      <c r="AB62" s="1231" t="str">
        <f t="shared" si="11"/>
        <v/>
      </c>
      <c r="AC62" s="1232" t="str">
        <f t="shared" si="12"/>
        <v/>
      </c>
      <c r="AD62" s="1230" t="str">
        <f>IF(M62="","",VLOOKUP(I62,product_list,12,FALSE))</f>
        <v/>
      </c>
      <c r="AE62" s="1231" t="str">
        <f>IFERROR(IF(M62="","",IF(invoice_price_type_id=1,VLOOKUP(I62,product_list,13,FALSE),IF(invoice_price_type_id=2,VLOOKUP(I62,product_list,14,FALSE),IF(invoice_price_type_id=3,VLOOKUP(I62,product_list,15,FALSE),IF(invoice_price_type_id=4,VLOOKUP(I62,product_list,16,FALSE),IF(invoice_price_type_id=5,VLOOKUP(I62,product_list,12,FALSE),"")))))),"")</f>
        <v/>
      </c>
      <c r="AF62" s="1233" t="str">
        <f t="shared" si="13"/>
        <v/>
      </c>
      <c r="AG62" s="1230" t="str">
        <f>IF(I62="","",IF(ISNA(MATCH(I62,IF(invoice_location_id=1,'[1]1_inventory_totals'!$C$8:$C$10000,IF(invoice_location_id=2,'[1]2_inventory_totals'!$C$8:$C$10000,0)),0)),0,IF(AU62&gt;0,1,0)))</f>
        <v/>
      </c>
      <c r="AH62" s="1230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I62" s="1230" t="str">
        <f>IF(M62="","",IF(ISNA(MATCH(I62,'[1]1_group_totals'!$C$8:$C$10000)),0,IF(AV62&gt;0,1,0)))</f>
        <v/>
      </c>
      <c r="AJ62" s="1230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K62" s="1230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L62" s="1230" t="str">
        <f>IF(M62="","",SUMIFS('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M62" s="1230" t="str">
        <f>IF(M62="","",VLOOKUP(I62,product_list,11,FALSE))</f>
        <v/>
      </c>
      <c r="AN62" s="1230" t="str">
        <f>IF(OR(ISNA(MATCH(MID(AM62,1,3)*1,UomConversion!$D$8:$D$500,0)),M62=""),"",IF(AS62="","",AS62))</f>
        <v/>
      </c>
      <c r="AO62" s="1230" t="str">
        <f>IF(AND(AP62&gt;0,COUNTIFS(UomConversion!$D$8:$D$500,MID(AM62,1,3)*1,UomConversion!$J$8:$J$500,1)&gt;1),TEXT(AP62,"000")&amp;"."&amp;VLOOKUP(AP62,uom_list,4,FALSE),"")</f>
        <v/>
      </c>
      <c r="AP62" s="1230" t="str">
        <f t="shared" si="14"/>
        <v/>
      </c>
      <c r="AQ62" s="1230" t="str">
        <f t="shared" si="15"/>
        <v/>
      </c>
      <c r="AR62" s="204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S62" s="126" t="str">
        <f t="shared" si="16"/>
        <v/>
      </c>
      <c r="AT62" s="126" t="str" cm="1">
        <f t="array" ref="AT62">IF(M62="","",IF(ISNA(Slookup(MID(AM62,1,3)*1,UomConversion!$D$8:$J$500,2,UomConversion!$I$8:$I$500,1,UomConversion!$J$8:$J$500,1)),"",Slookup(MID(AM62,1,3)*1,UomConversion!$D$8:$J$500,2,UomConversion!$I$8:$I$500,1,UomConversion!$J$8:$J$500,1)))</f>
        <v/>
      </c>
      <c r="AU62" s="12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V62" s="143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W62" s="204" t="str">
        <f t="shared" si="17"/>
        <v/>
      </c>
      <c r="AX62" s="204" t="str">
        <f>IF(M62="","",SUMIFS($AW$8:AW62,$I$8:I62,I62))</f>
        <v/>
      </c>
      <c r="AY62" s="204" t="str">
        <f t="shared" si="18"/>
        <v/>
      </c>
    </row>
    <row r="63" spans="1:51" ht="27" customHeight="1">
      <c r="A63" s="765"/>
      <c r="B63" s="1358"/>
      <c r="C63" s="984"/>
      <c r="D63" s="984"/>
      <c r="E63" s="984"/>
      <c r="F63" s="1369"/>
      <c r="G63" s="213"/>
      <c r="H63" s="906"/>
      <c r="I63" s="426" t="str">
        <f t="shared" si="7"/>
        <v/>
      </c>
      <c r="J63" s="1327" t="str">
        <f t="shared" si="20"/>
        <v/>
      </c>
      <c r="K63" s="1320" t="str">
        <f t="shared" si="21"/>
        <v/>
      </c>
      <c r="L63" s="1321"/>
      <c r="M63" s="1311"/>
      <c r="N63" s="1322"/>
      <c r="O63" s="1322"/>
      <c r="P63" s="1311"/>
      <c r="Q63" s="1401"/>
      <c r="R63" s="1399"/>
      <c r="S63" s="1323" t="str">
        <f t="shared" si="22"/>
        <v/>
      </c>
      <c r="T63" s="1337"/>
      <c r="U63" s="1324" t="str">
        <f t="shared" si="8"/>
        <v/>
      </c>
      <c r="V63" s="1332" t="str">
        <f t="shared" si="23"/>
        <v/>
      </c>
      <c r="W63" s="1333"/>
      <c r="X63" s="1325" t="str">
        <f t="shared" si="24"/>
        <v/>
      </c>
      <c r="Y63" s="1326" t="str">
        <f t="shared" si="9"/>
        <v/>
      </c>
      <c r="Z63" s="1230" t="str" cm="1">
        <f t="array" ref="Z63">IF(M63="","",IF(P63=AM63,1,Slookup(MID(AM63,1,3)*1,UomConversion!$D$8:$J$500,5,UomConversion!$E$8:$E$500,MID(P63,1,3)*1,UomConversion!$J$8:$J$500,1)))</f>
        <v/>
      </c>
      <c r="AA63" s="1230" t="str">
        <f t="shared" si="10"/>
        <v/>
      </c>
      <c r="AB63" s="1231" t="str">
        <f t="shared" si="11"/>
        <v/>
      </c>
      <c r="AC63" s="1232" t="str">
        <f t="shared" si="12"/>
        <v/>
      </c>
      <c r="AD63" s="1230" t="str">
        <f>IF(M63="","",VLOOKUP(I63,product_list,12,FALSE))</f>
        <v/>
      </c>
      <c r="AE63" s="1231" t="str">
        <f>IFERROR(IF(M63="","",IF(invoice_price_type_id=1,VLOOKUP(I63,product_list,13,FALSE),IF(invoice_price_type_id=2,VLOOKUP(I63,product_list,14,FALSE),IF(invoice_price_type_id=3,VLOOKUP(I63,product_list,15,FALSE),IF(invoice_price_type_id=4,VLOOKUP(I63,product_list,16,FALSE),IF(invoice_price_type_id=5,VLOOKUP(I63,product_list,12,FALSE),"")))))),"")</f>
        <v/>
      </c>
      <c r="AF63" s="1233" t="str">
        <f t="shared" si="13"/>
        <v/>
      </c>
      <c r="AG63" s="1230" t="str">
        <f>IF(I63="","",IF(ISNA(MATCH(I63,IF(invoice_location_id=1,'[1]1_inventory_totals'!$C$8:$C$10000,IF(invoice_location_id=2,'[1]2_inventory_totals'!$C$8:$C$10000,0)),0)),0,IF(AU63&gt;0,1,0)))</f>
        <v/>
      </c>
      <c r="AH63" s="1230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I63" s="1230" t="str">
        <f>IF(M63="","",IF(ISNA(MATCH(I63,'[1]1_group_totals'!$C$8:$C$10000)),0,IF(AV63&gt;0,1,0)))</f>
        <v/>
      </c>
      <c r="AJ63" s="1230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K63" s="1230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L63" s="1230" t="str">
        <f>IF(M63="","",SUMIFS('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M63" s="1230" t="str">
        <f>IF(M63="","",VLOOKUP(I63,product_list,11,FALSE))</f>
        <v/>
      </c>
      <c r="AN63" s="1230" t="str">
        <f>IF(OR(ISNA(MATCH(MID(AM63,1,3)*1,UomConversion!$D$8:$D$500,0)),M63=""),"",IF(AS63="","",AS63))</f>
        <v/>
      </c>
      <c r="AO63" s="1230" t="str">
        <f>IF(AND(AP63&gt;0,COUNTIFS(UomConversion!$D$8:$D$500,MID(AM63,1,3)*1,UomConversion!$J$8:$J$500,1)&gt;1),TEXT(AP63,"000")&amp;"."&amp;VLOOKUP(AP63,uom_list,4,FALSE),"")</f>
        <v/>
      </c>
      <c r="AP63" s="1230" t="str">
        <f t="shared" si="14"/>
        <v/>
      </c>
      <c r="AQ63" s="1230" t="str">
        <f t="shared" si="15"/>
        <v/>
      </c>
      <c r="AR63" s="204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S63" s="126" t="str">
        <f t="shared" si="16"/>
        <v/>
      </c>
      <c r="AT63" s="126" t="str" cm="1">
        <f t="array" ref="AT63">IF(M63="","",IF(ISNA(Slookup(MID(AM63,1,3)*1,UomConversion!$D$8:$J$500,2,UomConversion!$I$8:$I$500,1,UomConversion!$J$8:$J$500,1)),"",Slookup(MID(AM63,1,3)*1,UomConversion!$D$8:$J$500,2,UomConversion!$I$8:$I$500,1,UomConversion!$J$8:$J$500,1)))</f>
        <v/>
      </c>
      <c r="AU63" s="12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V63" s="143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W63" s="204" t="str">
        <f t="shared" si="17"/>
        <v/>
      </c>
      <c r="AX63" s="204" t="str">
        <f>IF(M63="","",SUMIFS($AW$8:AW63,$I$8:I63,I63))</f>
        <v/>
      </c>
      <c r="AY63" s="204" t="str">
        <f t="shared" si="18"/>
        <v/>
      </c>
    </row>
    <row r="64" spans="1:51" ht="27" customHeight="1">
      <c r="A64" s="765"/>
      <c r="B64" s="1358"/>
      <c r="C64" s="984"/>
      <c r="D64" s="984"/>
      <c r="E64" s="984"/>
      <c r="F64" s="1369"/>
      <c r="G64" s="213"/>
      <c r="H64" s="906"/>
      <c r="I64" s="426" t="str">
        <f t="shared" si="7"/>
        <v/>
      </c>
      <c r="J64" s="1327" t="str">
        <f t="shared" si="20"/>
        <v/>
      </c>
      <c r="K64" s="1320" t="str">
        <f t="shared" si="21"/>
        <v/>
      </c>
      <c r="L64" s="1321"/>
      <c r="M64" s="1311"/>
      <c r="N64" s="1322"/>
      <c r="O64" s="1322"/>
      <c r="P64" s="1311"/>
      <c r="Q64" s="1401"/>
      <c r="R64" s="1399"/>
      <c r="S64" s="1323" t="str">
        <f t="shared" si="22"/>
        <v/>
      </c>
      <c r="T64" s="1337"/>
      <c r="U64" s="1324" t="str">
        <f t="shared" si="8"/>
        <v/>
      </c>
      <c r="V64" s="1332" t="str">
        <f t="shared" si="23"/>
        <v/>
      </c>
      <c r="W64" s="1333"/>
      <c r="X64" s="1325" t="str">
        <f t="shared" si="24"/>
        <v/>
      </c>
      <c r="Y64" s="1326" t="str">
        <f t="shared" si="9"/>
        <v/>
      </c>
      <c r="Z64" s="1230" t="str" cm="1">
        <f t="array" ref="Z64">IF(M64="","",IF(P64=AM64,1,Slookup(MID(AM64,1,3)*1,UomConversion!$D$8:$J$500,5,UomConversion!$E$8:$E$500,MID(P64,1,3)*1,UomConversion!$J$8:$J$500,1)))</f>
        <v/>
      </c>
      <c r="AA64" s="1230" t="str">
        <f t="shared" si="10"/>
        <v/>
      </c>
      <c r="AB64" s="1231" t="str">
        <f t="shared" si="11"/>
        <v/>
      </c>
      <c r="AC64" s="1232" t="str">
        <f t="shared" si="12"/>
        <v/>
      </c>
      <c r="AD64" s="1230" t="str">
        <f>IF(M64="","",VLOOKUP(I64,product_list,12,FALSE))</f>
        <v/>
      </c>
      <c r="AE64" s="1231" t="str">
        <f>IFERROR(IF(M64="","",IF(invoice_price_type_id=1,VLOOKUP(I64,product_list,13,FALSE),IF(invoice_price_type_id=2,VLOOKUP(I64,product_list,14,FALSE),IF(invoice_price_type_id=3,VLOOKUP(I64,product_list,15,FALSE),IF(invoice_price_type_id=4,VLOOKUP(I64,product_list,16,FALSE),IF(invoice_price_type_id=5,VLOOKUP(I64,product_list,12,FALSE),"")))))),"")</f>
        <v/>
      </c>
      <c r="AF64" s="1233" t="str">
        <f t="shared" si="13"/>
        <v/>
      </c>
      <c r="AG64" s="1230" t="str">
        <f>IF(I64="","",IF(ISNA(MATCH(I64,IF(invoice_location_id=1,'[1]1_inventory_totals'!$C$8:$C$10000,IF(invoice_location_id=2,'[1]2_inventory_totals'!$C$8:$C$10000,0)),0)),0,IF(AU64&gt;0,1,0)))</f>
        <v/>
      </c>
      <c r="AH64" s="1230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I64" s="1230" t="str">
        <f>IF(M64="","",IF(ISNA(MATCH(I64,'[1]1_group_totals'!$C$8:$C$10000)),0,IF(AV64&gt;0,1,0)))</f>
        <v/>
      </c>
      <c r="AJ64" s="1230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K64" s="1230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L64" s="1230" t="str">
        <f>IF(M64="","",SUMIFS('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M64" s="1230" t="str">
        <f>IF(M64="","",VLOOKUP(I64,product_list,11,FALSE))</f>
        <v/>
      </c>
      <c r="AN64" s="1230" t="str">
        <f>IF(OR(ISNA(MATCH(MID(AM64,1,3)*1,UomConversion!$D$8:$D$500,0)),M64=""),"",IF(AS64="","",AS64))</f>
        <v/>
      </c>
      <c r="AO64" s="1230" t="str">
        <f>IF(AND(AP64&gt;0,COUNTIFS(UomConversion!$D$8:$D$500,MID(AM64,1,3)*1,UomConversion!$J$8:$J$500,1)&gt;1),TEXT(AP64,"000")&amp;"."&amp;VLOOKUP(AP64,uom_list,4,FALSE),"")</f>
        <v/>
      </c>
      <c r="AP64" s="1230" t="str">
        <f t="shared" si="14"/>
        <v/>
      </c>
      <c r="AQ64" s="1230" t="str">
        <f t="shared" si="15"/>
        <v/>
      </c>
      <c r="AR64" s="204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S64" s="126" t="str">
        <f t="shared" si="16"/>
        <v/>
      </c>
      <c r="AT64" s="126" t="str" cm="1">
        <f t="array" ref="AT64">IF(M64="","",IF(ISNA(Slookup(MID(AM64,1,3)*1,UomConversion!$D$8:$J$500,2,UomConversion!$I$8:$I$500,1,UomConversion!$J$8:$J$500,1)),"",Slookup(MID(AM64,1,3)*1,UomConversion!$D$8:$J$500,2,UomConversion!$I$8:$I$500,1,UomConversion!$J$8:$J$500,1)))</f>
        <v/>
      </c>
      <c r="AU64" s="12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V64" s="143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W64" s="204" t="str">
        <f t="shared" si="17"/>
        <v/>
      </c>
      <c r="AX64" s="204" t="str">
        <f>IF(M64="","",SUMIFS($AW$8:AW64,$I$8:I64,I64))</f>
        <v/>
      </c>
      <c r="AY64" s="204" t="str">
        <f t="shared" si="18"/>
        <v/>
      </c>
    </row>
    <row r="65" spans="1:51" ht="27" customHeight="1">
      <c r="A65" s="765"/>
      <c r="B65" s="1358"/>
      <c r="C65" s="984"/>
      <c r="D65" s="984"/>
      <c r="E65" s="984"/>
      <c r="F65" s="1369"/>
      <c r="G65" s="213"/>
      <c r="H65" s="906"/>
      <c r="I65" s="426" t="str">
        <f t="shared" si="7"/>
        <v/>
      </c>
      <c r="J65" s="1327" t="str">
        <f t="shared" si="20"/>
        <v/>
      </c>
      <c r="K65" s="1320" t="str">
        <f t="shared" si="21"/>
        <v/>
      </c>
      <c r="L65" s="1321"/>
      <c r="M65" s="1311"/>
      <c r="N65" s="1322"/>
      <c r="O65" s="1322"/>
      <c r="P65" s="1311"/>
      <c r="Q65" s="1401"/>
      <c r="R65" s="1399"/>
      <c r="S65" s="1323" t="str">
        <f t="shared" si="22"/>
        <v/>
      </c>
      <c r="T65" s="1337"/>
      <c r="U65" s="1324" t="str">
        <f t="shared" si="8"/>
        <v/>
      </c>
      <c r="V65" s="1332" t="str">
        <f t="shared" si="23"/>
        <v/>
      </c>
      <c r="W65" s="1333"/>
      <c r="X65" s="1325" t="str">
        <f t="shared" si="24"/>
        <v/>
      </c>
      <c r="Y65" s="1326" t="str">
        <f t="shared" si="9"/>
        <v/>
      </c>
      <c r="Z65" s="1230" t="str" cm="1">
        <f t="array" ref="Z65">IF(M65="","",IF(P65=AM65,1,Slookup(MID(AM65,1,3)*1,UomConversion!$D$8:$J$500,5,UomConversion!$E$8:$E$500,MID(P65,1,3)*1,UomConversion!$J$8:$J$500,1)))</f>
        <v/>
      </c>
      <c r="AA65" s="1230" t="str">
        <f t="shared" si="10"/>
        <v/>
      </c>
      <c r="AB65" s="1231" t="str">
        <f t="shared" si="11"/>
        <v/>
      </c>
      <c r="AC65" s="1232" t="str">
        <f t="shared" si="12"/>
        <v/>
      </c>
      <c r="AD65" s="1230" t="str">
        <f>IF(M65="","",VLOOKUP(I65,product_list,12,FALSE))</f>
        <v/>
      </c>
      <c r="AE65" s="1231" t="str">
        <f>IFERROR(IF(M65="","",IF(invoice_price_type_id=1,VLOOKUP(I65,product_list,13,FALSE),IF(invoice_price_type_id=2,VLOOKUP(I65,product_list,14,FALSE),IF(invoice_price_type_id=3,VLOOKUP(I65,product_list,15,FALSE),IF(invoice_price_type_id=4,VLOOKUP(I65,product_list,16,FALSE),IF(invoice_price_type_id=5,VLOOKUP(I65,product_list,12,FALSE),"")))))),"")</f>
        <v/>
      </c>
      <c r="AF65" s="1233" t="str">
        <f t="shared" si="13"/>
        <v/>
      </c>
      <c r="AG65" s="1230" t="str">
        <f>IF(I65="","",IF(ISNA(MATCH(I65,IF(invoice_location_id=1,'[1]1_inventory_totals'!$C$8:$C$10000,IF(invoice_location_id=2,'[1]2_inventory_totals'!$C$8:$C$10000,0)),0)),0,IF(AU65&gt;0,1,0)))</f>
        <v/>
      </c>
      <c r="AH65" s="1230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I65" s="1230" t="str">
        <f>IF(M65="","",IF(ISNA(MATCH(I65,'[1]1_group_totals'!$C$8:$C$10000)),0,IF(AV65&gt;0,1,0)))</f>
        <v/>
      </c>
      <c r="AJ65" s="1230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K65" s="1230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L65" s="1230" t="str">
        <f>IF(M65="","",SUMIFS('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M65" s="1230" t="str">
        <f>IF(M65="","",VLOOKUP(I65,product_list,11,FALSE))</f>
        <v/>
      </c>
      <c r="AN65" s="1230" t="str">
        <f>IF(OR(ISNA(MATCH(MID(AM65,1,3)*1,UomConversion!$D$8:$D$500,0)),M65=""),"",IF(AS65="","",AS65))</f>
        <v/>
      </c>
      <c r="AO65" s="1230" t="str">
        <f>IF(AND(AP65&gt;0,COUNTIFS(UomConversion!$D$8:$D$500,MID(AM65,1,3)*1,UomConversion!$J$8:$J$500,1)&gt;1),TEXT(AP65,"000")&amp;"."&amp;VLOOKUP(AP65,uom_list,4,FALSE),"")</f>
        <v/>
      </c>
      <c r="AP65" s="1230" t="str">
        <f t="shared" si="14"/>
        <v/>
      </c>
      <c r="AQ65" s="1230" t="str">
        <f t="shared" si="15"/>
        <v/>
      </c>
      <c r="AR65" s="204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S65" s="126" t="str">
        <f t="shared" si="16"/>
        <v/>
      </c>
      <c r="AT65" s="126" t="str" cm="1">
        <f t="array" ref="AT65">IF(M65="","",IF(ISNA(Slookup(MID(AM65,1,3)*1,UomConversion!$D$8:$J$500,2,UomConversion!$I$8:$I$500,1,UomConversion!$J$8:$J$500,1)),"",Slookup(MID(AM65,1,3)*1,UomConversion!$D$8:$J$500,2,UomConversion!$I$8:$I$500,1,UomConversion!$J$8:$J$500,1)))</f>
        <v/>
      </c>
      <c r="AU65" s="12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V65" s="143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W65" s="204" t="str">
        <f t="shared" si="17"/>
        <v/>
      </c>
      <c r="AX65" s="204" t="str">
        <f>IF(M65="","",SUMIFS($AW$8:AW65,$I$8:I65,I65))</f>
        <v/>
      </c>
      <c r="AY65" s="204" t="str">
        <f t="shared" si="18"/>
        <v/>
      </c>
    </row>
    <row r="66" spans="1:51" ht="27" customHeight="1">
      <c r="A66" s="765"/>
      <c r="B66" s="1358"/>
      <c r="C66" s="984"/>
      <c r="D66" s="984"/>
      <c r="E66" s="984"/>
      <c r="F66" s="1369"/>
      <c r="G66" s="213"/>
      <c r="H66" s="906"/>
      <c r="I66" s="426" t="str">
        <f t="shared" si="7"/>
        <v/>
      </c>
      <c r="J66" s="1327" t="str">
        <f t="shared" si="20"/>
        <v/>
      </c>
      <c r="K66" s="1320" t="str">
        <f t="shared" si="21"/>
        <v/>
      </c>
      <c r="L66" s="1321"/>
      <c r="M66" s="1311"/>
      <c r="N66" s="1322"/>
      <c r="O66" s="1322"/>
      <c r="P66" s="1311"/>
      <c r="Q66" s="1401"/>
      <c r="R66" s="1399"/>
      <c r="S66" s="1323" t="str">
        <f t="shared" si="22"/>
        <v/>
      </c>
      <c r="T66" s="1337"/>
      <c r="U66" s="1324" t="str">
        <f t="shared" si="8"/>
        <v/>
      </c>
      <c r="V66" s="1332" t="str">
        <f t="shared" si="23"/>
        <v/>
      </c>
      <c r="W66" s="1333"/>
      <c r="X66" s="1325" t="str">
        <f t="shared" si="24"/>
        <v/>
      </c>
      <c r="Y66" s="1326" t="str">
        <f t="shared" si="9"/>
        <v/>
      </c>
      <c r="Z66" s="1230" t="str" cm="1">
        <f t="array" ref="Z66">IF(M66="","",IF(P66=AM66,1,Slookup(MID(AM66,1,3)*1,UomConversion!$D$8:$J$500,5,UomConversion!$E$8:$E$500,MID(P66,1,3)*1,UomConversion!$J$8:$J$500,1)))</f>
        <v/>
      </c>
      <c r="AA66" s="1230" t="str">
        <f t="shared" si="10"/>
        <v/>
      </c>
      <c r="AB66" s="1231" t="str">
        <f t="shared" si="11"/>
        <v/>
      </c>
      <c r="AC66" s="1232" t="str">
        <f t="shared" si="12"/>
        <v/>
      </c>
      <c r="AD66" s="1230" t="str">
        <f>IF(M66="","",VLOOKUP(I66,product_list,12,FALSE))</f>
        <v/>
      </c>
      <c r="AE66" s="1231" t="str">
        <f>IFERROR(IF(M66="","",IF(invoice_price_type_id=1,VLOOKUP(I66,product_list,13,FALSE),IF(invoice_price_type_id=2,VLOOKUP(I66,product_list,14,FALSE),IF(invoice_price_type_id=3,VLOOKUP(I66,product_list,15,FALSE),IF(invoice_price_type_id=4,VLOOKUP(I66,product_list,16,FALSE),IF(invoice_price_type_id=5,VLOOKUP(I66,product_list,12,FALSE),"")))))),"")</f>
        <v/>
      </c>
      <c r="AF66" s="1233" t="str">
        <f t="shared" si="13"/>
        <v/>
      </c>
      <c r="AG66" s="1230" t="str">
        <f>IF(I66="","",IF(ISNA(MATCH(I66,IF(invoice_location_id=1,'[1]1_inventory_totals'!$C$8:$C$10000,IF(invoice_location_id=2,'[1]2_inventory_totals'!$C$8:$C$10000,0)),0)),0,IF(AU66&gt;0,1,0)))</f>
        <v/>
      </c>
      <c r="AH66" s="1230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I66" s="1230" t="str">
        <f>IF(M66="","",IF(ISNA(MATCH(I66,'[1]1_group_totals'!$C$8:$C$10000)),0,IF(AV66&gt;0,1,0)))</f>
        <v/>
      </c>
      <c r="AJ66" s="1230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K66" s="1230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L66" s="1230" t="str">
        <f>IF(M66="","",SUMIFS('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M66" s="1230" t="str">
        <f>IF(M66="","",VLOOKUP(I66,product_list,11,FALSE))</f>
        <v/>
      </c>
      <c r="AN66" s="1230" t="str">
        <f>IF(OR(ISNA(MATCH(MID(AM66,1,3)*1,UomConversion!$D$8:$D$500,0)),M66=""),"",IF(AS66="","",AS66))</f>
        <v/>
      </c>
      <c r="AO66" s="1230" t="str">
        <f>IF(AND(AP66&gt;0,COUNTIFS(UomConversion!$D$8:$D$500,MID(AM66,1,3)*1,UomConversion!$J$8:$J$500,1)&gt;1),TEXT(AP66,"000")&amp;"."&amp;VLOOKUP(AP66,uom_list,4,FALSE),"")</f>
        <v/>
      </c>
      <c r="AP66" s="1230" t="str">
        <f t="shared" si="14"/>
        <v/>
      </c>
      <c r="AQ66" s="1230" t="str">
        <f t="shared" si="15"/>
        <v/>
      </c>
      <c r="AR66" s="204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S66" s="126" t="str">
        <f t="shared" si="16"/>
        <v/>
      </c>
      <c r="AT66" s="126" t="str" cm="1">
        <f t="array" ref="AT66">IF(M66="","",IF(ISNA(Slookup(MID(AM66,1,3)*1,UomConversion!$D$8:$J$500,2,UomConversion!$I$8:$I$500,1,UomConversion!$J$8:$J$500,1)),"",Slookup(MID(AM66,1,3)*1,UomConversion!$D$8:$J$500,2,UomConversion!$I$8:$I$500,1,UomConversion!$J$8:$J$500,1)))</f>
        <v/>
      </c>
      <c r="AU66" s="12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V66" s="143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W66" s="204" t="str">
        <f t="shared" si="17"/>
        <v/>
      </c>
      <c r="AX66" s="204" t="str">
        <f>IF(M66="","",SUMIFS($AW$8:AW66,$I$8:I66,I66))</f>
        <v/>
      </c>
      <c r="AY66" s="204" t="str">
        <f t="shared" si="18"/>
        <v/>
      </c>
    </row>
    <row r="67" spans="1:51" ht="27" customHeight="1">
      <c r="A67" s="765"/>
      <c r="B67" s="1358"/>
      <c r="C67" s="984"/>
      <c r="D67" s="984"/>
      <c r="E67" s="984"/>
      <c r="F67" s="1369"/>
      <c r="G67" s="213"/>
      <c r="H67" s="906"/>
      <c r="I67" s="426" t="str">
        <f t="shared" si="7"/>
        <v/>
      </c>
      <c r="J67" s="1327" t="str">
        <f t="shared" si="20"/>
        <v/>
      </c>
      <c r="K67" s="1320" t="str">
        <f t="shared" si="21"/>
        <v/>
      </c>
      <c r="L67" s="1321"/>
      <c r="M67" s="1311"/>
      <c r="N67" s="1322"/>
      <c r="O67" s="1322"/>
      <c r="P67" s="1311"/>
      <c r="Q67" s="1401"/>
      <c r="R67" s="1399"/>
      <c r="S67" s="1323" t="str">
        <f t="shared" si="22"/>
        <v/>
      </c>
      <c r="T67" s="1337"/>
      <c r="U67" s="1324" t="str">
        <f t="shared" si="8"/>
        <v/>
      </c>
      <c r="V67" s="1332" t="str">
        <f t="shared" si="23"/>
        <v/>
      </c>
      <c r="W67" s="1333"/>
      <c r="X67" s="1325" t="str">
        <f t="shared" si="24"/>
        <v/>
      </c>
      <c r="Y67" s="1326" t="str">
        <f t="shared" si="9"/>
        <v/>
      </c>
      <c r="Z67" s="1230" t="str" cm="1">
        <f t="array" ref="Z67">IF(M67="","",IF(P67=AM67,1,Slookup(MID(AM67,1,3)*1,UomConversion!$D$8:$J$500,5,UomConversion!$E$8:$E$500,MID(P67,1,3)*1,UomConversion!$J$8:$J$500,1)))</f>
        <v/>
      </c>
      <c r="AA67" s="1230" t="str">
        <f t="shared" si="10"/>
        <v/>
      </c>
      <c r="AB67" s="1231" t="str">
        <f t="shared" si="11"/>
        <v/>
      </c>
      <c r="AC67" s="1232" t="str">
        <f t="shared" si="12"/>
        <v/>
      </c>
      <c r="AD67" s="1230" t="str">
        <f>IF(M67="","",VLOOKUP(I67,product_list,12,FALSE))</f>
        <v/>
      </c>
      <c r="AE67" s="1231" t="str">
        <f>IFERROR(IF(M67="","",IF(invoice_price_type_id=1,VLOOKUP(I67,product_list,13,FALSE),IF(invoice_price_type_id=2,VLOOKUP(I67,product_list,14,FALSE),IF(invoice_price_type_id=3,VLOOKUP(I67,product_list,15,FALSE),IF(invoice_price_type_id=4,VLOOKUP(I67,product_list,16,FALSE),IF(invoice_price_type_id=5,VLOOKUP(I67,product_list,12,FALSE),"")))))),"")</f>
        <v/>
      </c>
      <c r="AF67" s="1233" t="str">
        <f t="shared" si="13"/>
        <v/>
      </c>
      <c r="AG67" s="1230" t="str">
        <f>IF(I67="","",IF(ISNA(MATCH(I67,IF(invoice_location_id=1,'[1]1_inventory_totals'!$C$8:$C$10000,IF(invoice_location_id=2,'[1]2_inventory_totals'!$C$8:$C$10000,0)),0)),0,IF(AU67&gt;0,1,0)))</f>
        <v/>
      </c>
      <c r="AH67" s="1230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I67" s="1230" t="str">
        <f>IF(M67="","",IF(ISNA(MATCH(I67,'[1]1_group_totals'!$C$8:$C$10000)),0,IF(AV67&gt;0,1,0)))</f>
        <v/>
      </c>
      <c r="AJ67" s="1230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K67" s="1230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L67" s="1230" t="str">
        <f>IF(M67="","",SUMIFS('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M67" s="1230" t="str">
        <f>IF(M67="","",VLOOKUP(I67,product_list,11,FALSE))</f>
        <v/>
      </c>
      <c r="AN67" s="1230" t="str">
        <f>IF(OR(ISNA(MATCH(MID(AM67,1,3)*1,UomConversion!$D$8:$D$500,0)),M67=""),"",IF(AS67="","",AS67))</f>
        <v/>
      </c>
      <c r="AO67" s="1230" t="str">
        <f>IF(AND(AP67&gt;0,COUNTIFS(UomConversion!$D$8:$D$500,MID(AM67,1,3)*1,UomConversion!$J$8:$J$500,1)&gt;1),TEXT(AP67,"000")&amp;"."&amp;VLOOKUP(AP67,uom_list,4,FALSE),"")</f>
        <v/>
      </c>
      <c r="AP67" s="1230" t="str">
        <f t="shared" si="14"/>
        <v/>
      </c>
      <c r="AQ67" s="1230" t="str">
        <f t="shared" si="15"/>
        <v/>
      </c>
      <c r="AR67" s="204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S67" s="126" t="str">
        <f t="shared" si="16"/>
        <v/>
      </c>
      <c r="AT67" s="126" t="str" cm="1">
        <f t="array" ref="AT67">IF(M67="","",IF(ISNA(Slookup(MID(AM67,1,3)*1,UomConversion!$D$8:$J$500,2,UomConversion!$I$8:$I$500,1,UomConversion!$J$8:$J$500,1)),"",Slookup(MID(AM67,1,3)*1,UomConversion!$D$8:$J$500,2,UomConversion!$I$8:$I$500,1,UomConversion!$J$8:$J$500,1)))</f>
        <v/>
      </c>
      <c r="AU67" s="12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V67" s="143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W67" s="204" t="str">
        <f t="shared" si="17"/>
        <v/>
      </c>
      <c r="AX67" s="204" t="str">
        <f>IF(M67="","",SUMIFS($AW$8:AW67,$I$8:I67,I67))</f>
        <v/>
      </c>
      <c r="AY67" s="204" t="str">
        <f t="shared" si="18"/>
        <v/>
      </c>
    </row>
    <row r="68" spans="1:51" ht="27" customHeight="1">
      <c r="A68" s="765"/>
      <c r="B68" s="1358"/>
      <c r="C68" s="984"/>
      <c r="D68" s="984"/>
      <c r="E68" s="984"/>
      <c r="F68" s="1369"/>
      <c r="G68" s="213"/>
      <c r="H68" s="906"/>
      <c r="I68" s="426" t="str">
        <f t="shared" si="7"/>
        <v/>
      </c>
      <c r="J68" s="1327" t="str">
        <f t="shared" si="20"/>
        <v/>
      </c>
      <c r="K68" s="1320" t="str">
        <f t="shared" si="21"/>
        <v/>
      </c>
      <c r="L68" s="1321"/>
      <c r="M68" s="1311"/>
      <c r="N68" s="1322"/>
      <c r="O68" s="1322"/>
      <c r="P68" s="1311"/>
      <c r="Q68" s="1401"/>
      <c r="R68" s="1399"/>
      <c r="S68" s="1323" t="str">
        <f t="shared" si="22"/>
        <v/>
      </c>
      <c r="T68" s="1337"/>
      <c r="U68" s="1324" t="str">
        <f t="shared" si="8"/>
        <v/>
      </c>
      <c r="V68" s="1332" t="str">
        <f t="shared" si="23"/>
        <v/>
      </c>
      <c r="W68" s="1333"/>
      <c r="X68" s="1325" t="str">
        <f t="shared" si="24"/>
        <v/>
      </c>
      <c r="Y68" s="1326" t="str">
        <f t="shared" si="9"/>
        <v/>
      </c>
      <c r="Z68" s="1230" t="str" cm="1">
        <f t="array" ref="Z68">IF(M68="","",IF(P68=AM68,1,Slookup(MID(AM68,1,3)*1,UomConversion!$D$8:$J$500,5,UomConversion!$E$8:$E$500,MID(P68,1,3)*1,UomConversion!$J$8:$J$500,1)))</f>
        <v/>
      </c>
      <c r="AA68" s="1230" t="str">
        <f t="shared" si="10"/>
        <v/>
      </c>
      <c r="AB68" s="1231" t="str">
        <f t="shared" si="11"/>
        <v/>
      </c>
      <c r="AC68" s="1232" t="str">
        <f t="shared" si="12"/>
        <v/>
      </c>
      <c r="AD68" s="1230" t="str">
        <f>IF(M68="","",VLOOKUP(I68,product_list,12,FALSE))</f>
        <v/>
      </c>
      <c r="AE68" s="1231" t="str">
        <f>IFERROR(IF(M68="","",IF(invoice_price_type_id=1,VLOOKUP(I68,product_list,13,FALSE),IF(invoice_price_type_id=2,VLOOKUP(I68,product_list,14,FALSE),IF(invoice_price_type_id=3,VLOOKUP(I68,product_list,15,FALSE),IF(invoice_price_type_id=4,VLOOKUP(I68,product_list,16,FALSE),IF(invoice_price_type_id=5,VLOOKUP(I68,product_list,12,FALSE),"")))))),"")</f>
        <v/>
      </c>
      <c r="AF68" s="1233" t="str">
        <f t="shared" si="13"/>
        <v/>
      </c>
      <c r="AG68" s="1230" t="str">
        <f>IF(I68="","",IF(ISNA(MATCH(I68,IF(invoice_location_id=1,'[1]1_inventory_totals'!$C$8:$C$10000,IF(invoice_location_id=2,'[1]2_inventory_totals'!$C$8:$C$10000,0)),0)),0,IF(AU68&gt;0,1,0)))</f>
        <v/>
      </c>
      <c r="AH68" s="1230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I68" s="1230" t="str">
        <f>IF(M68="","",IF(ISNA(MATCH(I68,'[1]1_group_totals'!$C$8:$C$10000)),0,IF(AV68&gt;0,1,0)))</f>
        <v/>
      </c>
      <c r="AJ68" s="1230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K68" s="1230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L68" s="1230" t="str">
        <f>IF(M68="","",SUMIFS('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M68" s="1230" t="str">
        <f>IF(M68="","",VLOOKUP(I68,product_list,11,FALSE))</f>
        <v/>
      </c>
      <c r="AN68" s="1230" t="str">
        <f>IF(OR(ISNA(MATCH(MID(AM68,1,3)*1,UomConversion!$D$8:$D$500,0)),M68=""),"",IF(AS68="","",AS68))</f>
        <v/>
      </c>
      <c r="AO68" s="1230" t="str">
        <f>IF(AND(AP68&gt;0,COUNTIFS(UomConversion!$D$8:$D$500,MID(AM68,1,3)*1,UomConversion!$J$8:$J$500,1)&gt;1),TEXT(AP68,"000")&amp;"."&amp;VLOOKUP(AP68,uom_list,4,FALSE),"")</f>
        <v/>
      </c>
      <c r="AP68" s="1230" t="str">
        <f t="shared" si="14"/>
        <v/>
      </c>
      <c r="AQ68" s="1230" t="str">
        <f t="shared" si="15"/>
        <v/>
      </c>
      <c r="AR68" s="204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S68" s="126" t="str">
        <f t="shared" si="16"/>
        <v/>
      </c>
      <c r="AT68" s="126" t="str" cm="1">
        <f t="array" ref="AT68">IF(M68="","",IF(ISNA(Slookup(MID(AM68,1,3)*1,UomConversion!$D$8:$J$500,2,UomConversion!$I$8:$I$500,1,UomConversion!$J$8:$J$500,1)),"",Slookup(MID(AM68,1,3)*1,UomConversion!$D$8:$J$500,2,UomConversion!$I$8:$I$500,1,UomConversion!$J$8:$J$500,1)))</f>
        <v/>
      </c>
      <c r="AU68" s="12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V68" s="143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W68" s="204" t="str">
        <f t="shared" si="17"/>
        <v/>
      </c>
      <c r="AX68" s="204" t="str">
        <f>IF(M68="","",SUMIFS($AW$8:AW68,$I$8:I68,I68))</f>
        <v/>
      </c>
      <c r="AY68" s="204" t="str">
        <f t="shared" si="18"/>
        <v/>
      </c>
    </row>
    <row r="69" spans="1:51" ht="27" customHeight="1">
      <c r="A69" s="765"/>
      <c r="B69" s="1358"/>
      <c r="C69" s="984"/>
      <c r="D69" s="984"/>
      <c r="E69" s="984"/>
      <c r="F69" s="1369"/>
      <c r="G69" s="213"/>
      <c r="H69" s="906"/>
      <c r="I69" s="426" t="str">
        <f t="shared" si="7"/>
        <v/>
      </c>
      <c r="J69" s="1327" t="str">
        <f t="shared" si="20"/>
        <v/>
      </c>
      <c r="K69" s="1320" t="str">
        <f t="shared" si="21"/>
        <v/>
      </c>
      <c r="L69" s="1321"/>
      <c r="M69" s="1311"/>
      <c r="N69" s="1322"/>
      <c r="O69" s="1322"/>
      <c r="P69" s="1311"/>
      <c r="Q69" s="1401"/>
      <c r="R69" s="1399"/>
      <c r="S69" s="1323" t="str">
        <f t="shared" si="22"/>
        <v/>
      </c>
      <c r="T69" s="1337"/>
      <c r="U69" s="1324" t="str">
        <f t="shared" si="8"/>
        <v/>
      </c>
      <c r="V69" s="1332" t="str">
        <f t="shared" si="23"/>
        <v/>
      </c>
      <c r="W69" s="1333"/>
      <c r="X69" s="1325" t="str">
        <f t="shared" si="24"/>
        <v/>
      </c>
      <c r="Y69" s="1326" t="str">
        <f t="shared" si="9"/>
        <v/>
      </c>
      <c r="Z69" s="1230" t="str" cm="1">
        <f t="array" ref="Z69">IF(M69="","",IF(P69=AM69,1,Slookup(MID(AM69,1,3)*1,UomConversion!$D$8:$J$500,5,UomConversion!$E$8:$E$500,MID(P69,1,3)*1,UomConversion!$J$8:$J$500,1)))</f>
        <v/>
      </c>
      <c r="AA69" s="1230" t="str">
        <f t="shared" si="10"/>
        <v/>
      </c>
      <c r="AB69" s="1231" t="str">
        <f t="shared" si="11"/>
        <v/>
      </c>
      <c r="AC69" s="1232" t="str">
        <f t="shared" si="12"/>
        <v/>
      </c>
      <c r="AD69" s="1230" t="str">
        <f>IF(M69="","",VLOOKUP(I69,product_list,12,FALSE))</f>
        <v/>
      </c>
      <c r="AE69" s="1231" t="str">
        <f>IFERROR(IF(M69="","",IF(invoice_price_type_id=1,VLOOKUP(I69,product_list,13,FALSE),IF(invoice_price_type_id=2,VLOOKUP(I69,product_list,14,FALSE),IF(invoice_price_type_id=3,VLOOKUP(I69,product_list,15,FALSE),IF(invoice_price_type_id=4,VLOOKUP(I69,product_list,16,FALSE),IF(invoice_price_type_id=5,VLOOKUP(I69,product_list,12,FALSE),"")))))),"")</f>
        <v/>
      </c>
      <c r="AF69" s="1233" t="str">
        <f t="shared" si="13"/>
        <v/>
      </c>
      <c r="AG69" s="1230" t="str">
        <f>IF(I69="","",IF(ISNA(MATCH(I69,IF(invoice_location_id=1,'[1]1_inventory_totals'!$C$8:$C$10000,IF(invoice_location_id=2,'[1]2_inventory_totals'!$C$8:$C$10000,0)),0)),0,IF(AU69&gt;0,1,0)))</f>
        <v/>
      </c>
      <c r="AH69" s="1230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I69" s="1230" t="str">
        <f>IF(M69="","",IF(ISNA(MATCH(I69,'[1]1_group_totals'!$C$8:$C$10000)),0,IF(AV69&gt;0,1,0)))</f>
        <v/>
      </c>
      <c r="AJ69" s="1230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K69" s="1230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L69" s="1230" t="str">
        <f>IF(M69="","",SUMIFS('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M69" s="1230" t="str">
        <f>IF(M69="","",VLOOKUP(I69,product_list,11,FALSE))</f>
        <v/>
      </c>
      <c r="AN69" s="1230" t="str">
        <f>IF(OR(ISNA(MATCH(MID(AM69,1,3)*1,UomConversion!$D$8:$D$500,0)),M69=""),"",IF(AS69="","",AS69))</f>
        <v/>
      </c>
      <c r="AO69" s="1230" t="str">
        <f>IF(AND(AP69&gt;0,COUNTIFS(UomConversion!$D$8:$D$500,MID(AM69,1,3)*1,UomConversion!$J$8:$J$500,1)&gt;1),TEXT(AP69,"000")&amp;"."&amp;VLOOKUP(AP69,uom_list,4,FALSE),"")</f>
        <v/>
      </c>
      <c r="AP69" s="1230" t="str">
        <f t="shared" si="14"/>
        <v/>
      </c>
      <c r="AQ69" s="1230" t="str">
        <f t="shared" si="15"/>
        <v/>
      </c>
      <c r="AR69" s="204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S69" s="126" t="str">
        <f t="shared" si="16"/>
        <v/>
      </c>
      <c r="AT69" s="126" t="str" cm="1">
        <f t="array" ref="AT69">IF(M69="","",IF(ISNA(Slookup(MID(AM69,1,3)*1,UomConversion!$D$8:$J$500,2,UomConversion!$I$8:$I$500,1,UomConversion!$J$8:$J$500,1)),"",Slookup(MID(AM69,1,3)*1,UomConversion!$D$8:$J$500,2,UomConversion!$I$8:$I$500,1,UomConversion!$J$8:$J$500,1)))</f>
        <v/>
      </c>
      <c r="AU69" s="12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V69" s="143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W69" s="204" t="str">
        <f t="shared" si="17"/>
        <v/>
      </c>
      <c r="AX69" s="204" t="str">
        <f>IF(M69="","",SUMIFS($AW$8:AW69,$I$8:I69,I69))</f>
        <v/>
      </c>
      <c r="AY69" s="204" t="str">
        <f t="shared" si="18"/>
        <v/>
      </c>
    </row>
    <row r="70" spans="1:51" ht="27" customHeight="1">
      <c r="A70" s="765"/>
      <c r="B70" s="1358"/>
      <c r="C70" s="984"/>
      <c r="D70" s="984"/>
      <c r="E70" s="984"/>
      <c r="F70" s="1369"/>
      <c r="G70" s="213"/>
      <c r="H70" s="906"/>
      <c r="I70" s="426" t="str">
        <f t="shared" si="7"/>
        <v/>
      </c>
      <c r="J70" s="1327" t="str">
        <f t="shared" si="20"/>
        <v/>
      </c>
      <c r="K70" s="1320" t="str">
        <f t="shared" si="21"/>
        <v/>
      </c>
      <c r="L70" s="1321"/>
      <c r="M70" s="1311"/>
      <c r="N70" s="1322"/>
      <c r="O70" s="1322"/>
      <c r="P70" s="1311"/>
      <c r="Q70" s="1401"/>
      <c r="R70" s="1399"/>
      <c r="S70" s="1323" t="str">
        <f t="shared" si="22"/>
        <v/>
      </c>
      <c r="T70" s="1337"/>
      <c r="U70" s="1324" t="str">
        <f t="shared" si="8"/>
        <v/>
      </c>
      <c r="V70" s="1332" t="str">
        <f t="shared" si="23"/>
        <v/>
      </c>
      <c r="W70" s="1333"/>
      <c r="X70" s="1325" t="str">
        <f t="shared" si="24"/>
        <v/>
      </c>
      <c r="Y70" s="1326" t="str">
        <f t="shared" si="9"/>
        <v/>
      </c>
      <c r="Z70" s="1230" t="str" cm="1">
        <f t="array" ref="Z70">IF(M70="","",IF(P70=AM70,1,Slookup(MID(AM70,1,3)*1,UomConversion!$D$8:$J$500,5,UomConversion!$E$8:$E$500,MID(P70,1,3)*1,UomConversion!$J$8:$J$500,1)))</f>
        <v/>
      </c>
      <c r="AA70" s="1230" t="str">
        <f t="shared" si="10"/>
        <v/>
      </c>
      <c r="AB70" s="1231" t="str">
        <f t="shared" si="11"/>
        <v/>
      </c>
      <c r="AC70" s="1232" t="str">
        <f t="shared" si="12"/>
        <v/>
      </c>
      <c r="AD70" s="1230" t="str">
        <f>IF(M70="","",VLOOKUP(I70,product_list,12,FALSE))</f>
        <v/>
      </c>
      <c r="AE70" s="1231" t="str">
        <f>IFERROR(IF(M70="","",IF(invoice_price_type_id=1,VLOOKUP(I70,product_list,13,FALSE),IF(invoice_price_type_id=2,VLOOKUP(I70,product_list,14,FALSE),IF(invoice_price_type_id=3,VLOOKUP(I70,product_list,15,FALSE),IF(invoice_price_type_id=4,VLOOKUP(I70,product_list,16,FALSE),IF(invoice_price_type_id=5,VLOOKUP(I70,product_list,12,FALSE),"")))))),"")</f>
        <v/>
      </c>
      <c r="AF70" s="1233" t="str">
        <f t="shared" si="13"/>
        <v/>
      </c>
      <c r="AG70" s="1230" t="str">
        <f>IF(I70="","",IF(ISNA(MATCH(I70,IF(invoice_location_id=1,'[1]1_inventory_totals'!$C$8:$C$10000,IF(invoice_location_id=2,'[1]2_inventory_totals'!$C$8:$C$10000,0)),0)),0,IF(AU70&gt;0,1,0)))</f>
        <v/>
      </c>
      <c r="AH70" s="1230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I70" s="1230" t="str">
        <f>IF(M70="","",IF(ISNA(MATCH(I70,'[1]1_group_totals'!$C$8:$C$10000)),0,IF(AV70&gt;0,1,0)))</f>
        <v/>
      </c>
      <c r="AJ70" s="1230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K70" s="1230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L70" s="1230" t="str">
        <f>IF(M70="","",SUMIFS('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M70" s="1230" t="str">
        <f>IF(M70="","",VLOOKUP(I70,product_list,11,FALSE))</f>
        <v/>
      </c>
      <c r="AN70" s="1230" t="str">
        <f>IF(OR(ISNA(MATCH(MID(AM70,1,3)*1,UomConversion!$D$8:$D$500,0)),M70=""),"",IF(AS70="","",AS70))</f>
        <v/>
      </c>
      <c r="AO70" s="1230" t="str">
        <f>IF(AND(AP70&gt;0,COUNTIFS(UomConversion!$D$8:$D$500,MID(AM70,1,3)*1,UomConversion!$J$8:$J$500,1)&gt;1),TEXT(AP70,"000")&amp;"."&amp;VLOOKUP(AP70,uom_list,4,FALSE),"")</f>
        <v/>
      </c>
      <c r="AP70" s="1230" t="str">
        <f t="shared" si="14"/>
        <v/>
      </c>
      <c r="AQ70" s="1230" t="str">
        <f t="shared" si="15"/>
        <v/>
      </c>
      <c r="AR70" s="204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S70" s="126" t="str">
        <f t="shared" si="16"/>
        <v/>
      </c>
      <c r="AT70" s="126" t="str" cm="1">
        <f t="array" ref="AT70">IF(M70="","",IF(ISNA(Slookup(MID(AM70,1,3)*1,UomConversion!$D$8:$J$500,2,UomConversion!$I$8:$I$500,1,UomConversion!$J$8:$J$500,1)),"",Slookup(MID(AM70,1,3)*1,UomConversion!$D$8:$J$500,2,UomConversion!$I$8:$I$500,1,UomConversion!$J$8:$J$500,1)))</f>
        <v/>
      </c>
      <c r="AU70" s="12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V70" s="143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W70" s="204" t="str">
        <f t="shared" si="17"/>
        <v/>
      </c>
      <c r="AX70" s="204" t="str">
        <f>IF(M70="","",SUMIFS($AW$8:AW70,$I$8:I70,I70))</f>
        <v/>
      </c>
      <c r="AY70" s="204" t="str">
        <f t="shared" si="18"/>
        <v/>
      </c>
    </row>
    <row r="71" spans="1:51" ht="27" customHeight="1">
      <c r="A71" s="765"/>
      <c r="B71" s="1358"/>
      <c r="C71" s="984"/>
      <c r="D71" s="984"/>
      <c r="E71" s="984"/>
      <c r="F71" s="1369"/>
      <c r="G71" s="213"/>
      <c r="H71" s="906"/>
      <c r="I71" s="426" t="str">
        <f t="shared" si="7"/>
        <v/>
      </c>
      <c r="J71" s="1327" t="str">
        <f t="shared" si="20"/>
        <v/>
      </c>
      <c r="K71" s="1320" t="str">
        <f t="shared" si="21"/>
        <v/>
      </c>
      <c r="L71" s="1321"/>
      <c r="M71" s="1311"/>
      <c r="N71" s="1322"/>
      <c r="O71" s="1322"/>
      <c r="P71" s="1311"/>
      <c r="Q71" s="1401"/>
      <c r="R71" s="1399"/>
      <c r="S71" s="1323" t="str">
        <f t="shared" si="22"/>
        <v/>
      </c>
      <c r="T71" s="1337"/>
      <c r="U71" s="1324" t="str">
        <f t="shared" si="8"/>
        <v/>
      </c>
      <c r="V71" s="1332" t="str">
        <f t="shared" si="23"/>
        <v/>
      </c>
      <c r="W71" s="1333"/>
      <c r="X71" s="1325" t="str">
        <f t="shared" si="24"/>
        <v/>
      </c>
      <c r="Y71" s="1326" t="str">
        <f t="shared" si="9"/>
        <v/>
      </c>
      <c r="Z71" s="1230" t="str" cm="1">
        <f t="array" ref="Z71">IF(M71="","",IF(P71=AM71,1,Slookup(MID(AM71,1,3)*1,UomConversion!$D$8:$J$500,5,UomConversion!$E$8:$E$500,MID(P71,1,3)*1,UomConversion!$J$8:$J$500,1)))</f>
        <v/>
      </c>
      <c r="AA71" s="1230" t="str">
        <f t="shared" si="10"/>
        <v/>
      </c>
      <c r="AB71" s="1231" t="str">
        <f t="shared" si="11"/>
        <v/>
      </c>
      <c r="AC71" s="1232" t="str">
        <f t="shared" si="12"/>
        <v/>
      </c>
      <c r="AD71" s="1230" t="str">
        <f>IF(M71="","",VLOOKUP(I71,product_list,12,FALSE))</f>
        <v/>
      </c>
      <c r="AE71" s="1231" t="str">
        <f>IFERROR(IF(M71="","",IF(invoice_price_type_id=1,VLOOKUP(I71,product_list,13,FALSE),IF(invoice_price_type_id=2,VLOOKUP(I71,product_list,14,FALSE),IF(invoice_price_type_id=3,VLOOKUP(I71,product_list,15,FALSE),IF(invoice_price_type_id=4,VLOOKUP(I71,product_list,16,FALSE),IF(invoice_price_type_id=5,VLOOKUP(I71,product_list,12,FALSE),"")))))),"")</f>
        <v/>
      </c>
      <c r="AF71" s="1233" t="str">
        <f t="shared" si="13"/>
        <v/>
      </c>
      <c r="AG71" s="1230" t="str">
        <f>IF(I71="","",IF(ISNA(MATCH(I71,IF(invoice_location_id=1,'[1]1_inventory_totals'!$C$8:$C$10000,IF(invoice_location_id=2,'[1]2_inventory_totals'!$C$8:$C$10000,0)),0)),0,IF(AU71&gt;0,1,0)))</f>
        <v/>
      </c>
      <c r="AH71" s="1230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I71" s="1230" t="str">
        <f>IF(M71="","",IF(ISNA(MATCH(I71,'[1]1_group_totals'!$C$8:$C$10000)),0,IF(AV71&gt;0,1,0)))</f>
        <v/>
      </c>
      <c r="AJ71" s="1230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K71" s="1230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L71" s="1230" t="str">
        <f>IF(M71="","",SUMIFS('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M71" s="1230" t="str">
        <f>IF(M71="","",VLOOKUP(I71,product_list,11,FALSE))</f>
        <v/>
      </c>
      <c r="AN71" s="1230" t="str">
        <f>IF(OR(ISNA(MATCH(MID(AM71,1,3)*1,UomConversion!$D$8:$D$500,0)),M71=""),"",IF(AS71="","",AS71))</f>
        <v/>
      </c>
      <c r="AO71" s="1230" t="str">
        <f>IF(AND(AP71&gt;0,COUNTIFS(UomConversion!$D$8:$D$500,MID(AM71,1,3)*1,UomConversion!$J$8:$J$500,1)&gt;1),TEXT(AP71,"000")&amp;"."&amp;VLOOKUP(AP71,uom_list,4,FALSE),"")</f>
        <v/>
      </c>
      <c r="AP71" s="1230" t="str">
        <f t="shared" si="14"/>
        <v/>
      </c>
      <c r="AQ71" s="1230" t="str">
        <f t="shared" si="15"/>
        <v/>
      </c>
      <c r="AR71" s="204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S71" s="126" t="str">
        <f t="shared" si="16"/>
        <v/>
      </c>
      <c r="AT71" s="126" t="str" cm="1">
        <f t="array" ref="AT71">IF(M71="","",IF(ISNA(Slookup(MID(AM71,1,3)*1,UomConversion!$D$8:$J$500,2,UomConversion!$I$8:$I$500,1,UomConversion!$J$8:$J$500,1)),"",Slookup(MID(AM71,1,3)*1,UomConversion!$D$8:$J$500,2,UomConversion!$I$8:$I$500,1,UomConversion!$J$8:$J$500,1)))</f>
        <v/>
      </c>
      <c r="AU71" s="12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V71" s="143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W71" s="204" t="str">
        <f t="shared" si="17"/>
        <v/>
      </c>
      <c r="AX71" s="204" t="str">
        <f>IF(M71="","",SUMIFS($AW$8:AW71,$I$8:I71,I71))</f>
        <v/>
      </c>
      <c r="AY71" s="204" t="str">
        <f t="shared" si="18"/>
        <v/>
      </c>
    </row>
    <row r="72" spans="1:51" ht="27" customHeight="1">
      <c r="A72" s="765"/>
      <c r="B72" s="1358"/>
      <c r="C72" s="984"/>
      <c r="D72" s="984"/>
      <c r="E72" s="984"/>
      <c r="F72" s="1369"/>
      <c r="G72" s="213"/>
      <c r="H72" s="906"/>
      <c r="I72" s="426" t="str">
        <f t="shared" si="7"/>
        <v/>
      </c>
      <c r="J72" s="1327" t="str">
        <f t="shared" si="20"/>
        <v/>
      </c>
      <c r="K72" s="1320" t="str">
        <f t="shared" ref="K72:K87" si="25">IF(M72="","",VLOOKUP(I72,product_list,2,FALSE))</f>
        <v/>
      </c>
      <c r="L72" s="1321"/>
      <c r="M72" s="1311"/>
      <c r="N72" s="1322"/>
      <c r="O72" s="1322"/>
      <c r="P72" s="1311"/>
      <c r="Q72" s="1401"/>
      <c r="R72" s="1399"/>
      <c r="S72" s="1323" t="str">
        <f t="shared" ref="S72:S87" si="26">IF(M72="","",invoice_currency_symbol)</f>
        <v/>
      </c>
      <c r="T72" s="1337"/>
      <c r="U72" s="1324" t="str">
        <f t="shared" si="8"/>
        <v/>
      </c>
      <c r="V72" s="1332" t="str">
        <f t="shared" ref="V72:V87" si="27">IF(W72=0,"",invoice_currency_symbol)</f>
        <v/>
      </c>
      <c r="W72" s="1333"/>
      <c r="X72" s="1325" t="str">
        <f t="shared" ref="X72:X87" si="28">IF(M72="","",invoice_currency_symbol)</f>
        <v/>
      </c>
      <c r="Y72" s="1326" t="str">
        <f t="shared" si="9"/>
        <v/>
      </c>
      <c r="Z72" s="1230" t="str" cm="1">
        <f t="array" ref="Z72">IF(M72="","",IF(P72=AM72,1,Slookup(MID(AM72,1,3)*1,UomConversion!$D$8:$J$500,5,UomConversion!$E$8:$E$500,MID(P72,1,3)*1,UomConversion!$J$8:$J$500,1)))</f>
        <v/>
      </c>
      <c r="AA72" s="1230" t="str">
        <f t="shared" si="10"/>
        <v/>
      </c>
      <c r="AB72" s="1231" t="str">
        <f t="shared" si="11"/>
        <v/>
      </c>
      <c r="AC72" s="1232" t="str">
        <f t="shared" si="12"/>
        <v/>
      </c>
      <c r="AD72" s="1230" t="str">
        <f>IF(M72="","",VLOOKUP(I72,product_list,12,FALSE))</f>
        <v/>
      </c>
      <c r="AE72" s="1231" t="str">
        <f>IFERROR(IF(M72="","",IF(invoice_price_type_id=1,VLOOKUP(I72,product_list,13,FALSE),IF(invoice_price_type_id=2,VLOOKUP(I72,product_list,14,FALSE),IF(invoice_price_type_id=3,VLOOKUP(I72,product_list,15,FALSE),IF(invoice_price_type_id=4,VLOOKUP(I72,product_list,16,FALSE),IF(invoice_price_type_id=5,VLOOKUP(I72,product_list,12,FALSE),"")))))),"")</f>
        <v/>
      </c>
      <c r="AF72" s="1233" t="str">
        <f t="shared" si="13"/>
        <v/>
      </c>
      <c r="AG72" s="1230" t="str">
        <f>IF(I72="","",IF(ISNA(MATCH(I72,IF(invoice_location_id=1,'[1]1_inventory_totals'!$C$8:$C$10000,IF(invoice_location_id=2,'[1]2_inventory_totals'!$C$8:$C$10000,0)),0)),0,IF(AU72&gt;0,1,0)))</f>
        <v/>
      </c>
      <c r="AH72" s="1230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I72" s="1230" t="str">
        <f>IF(M72="","",IF(ISNA(MATCH(I72,'[1]1_group_totals'!$C$8:$C$10000)),0,IF(AV72&gt;0,1,0)))</f>
        <v/>
      </c>
      <c r="AJ72" s="1230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K72" s="1230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L72" s="1230" t="str">
        <f>IF(M72="","",SUMIFS('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M72" s="1230" t="str">
        <f>IF(M72="","",VLOOKUP(I72,product_list,11,FALSE))</f>
        <v/>
      </c>
      <c r="AN72" s="1230" t="str">
        <f>IF(OR(ISNA(MATCH(MID(AM72,1,3)*1,UomConversion!$D$8:$D$500,0)),M72=""),"",IF(AS72="","",AS72))</f>
        <v/>
      </c>
      <c r="AO72" s="1230" t="str">
        <f>IF(AND(AP72&gt;0,COUNTIFS(UomConversion!$D$8:$D$500,MID(AM72,1,3)*1,UomConversion!$J$8:$J$500,1)&gt;1),TEXT(AP72,"000")&amp;"."&amp;VLOOKUP(AP72,uom_list,4,FALSE),"")</f>
        <v/>
      </c>
      <c r="AP72" s="1230" t="str">
        <f t="shared" si="14"/>
        <v/>
      </c>
      <c r="AQ72" s="1230" t="str">
        <f t="shared" si="15"/>
        <v/>
      </c>
      <c r="AR72" s="204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S72" s="126" t="str">
        <f t="shared" si="16"/>
        <v/>
      </c>
      <c r="AT72" s="126" t="str" cm="1">
        <f t="array" ref="AT72">IF(M72="","",IF(ISNA(Slookup(MID(AM72,1,3)*1,UomConversion!$D$8:$J$500,2,UomConversion!$I$8:$I$500,1,UomConversion!$J$8:$J$500,1)),"",Slookup(MID(AM72,1,3)*1,UomConversion!$D$8:$J$500,2,UomConversion!$I$8:$I$500,1,UomConversion!$J$8:$J$500,1)))</f>
        <v/>
      </c>
      <c r="AU72" s="12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V72" s="143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W72" s="204" t="str">
        <f t="shared" si="17"/>
        <v/>
      </c>
      <c r="AX72" s="204" t="str">
        <f>IF(M72="","",SUMIFS($AW$8:AW72,$I$8:I72,I72))</f>
        <v/>
      </c>
      <c r="AY72" s="204" t="str">
        <f t="shared" si="18"/>
        <v/>
      </c>
    </row>
    <row r="73" spans="1:51" ht="27" customHeight="1">
      <c r="A73" s="765"/>
      <c r="B73" s="1358"/>
      <c r="C73" s="984"/>
      <c r="D73" s="984"/>
      <c r="E73" s="984"/>
      <c r="F73" s="1369"/>
      <c r="G73" s="213"/>
      <c r="H73" s="906"/>
      <c r="I73" s="426" t="str">
        <f t="shared" ref="I73:I87" si="29">IF(M73="","",MID(M73,1,5)*1)</f>
        <v/>
      </c>
      <c r="J73" s="1327" t="str">
        <f t="shared" ref="J73:J87" si="30">IF(M73="","",1)</f>
        <v/>
      </c>
      <c r="K73" s="1320" t="str">
        <f t="shared" si="25"/>
        <v/>
      </c>
      <c r="L73" s="1321"/>
      <c r="M73" s="1311"/>
      <c r="N73" s="1322"/>
      <c r="O73" s="1322"/>
      <c r="P73" s="1311"/>
      <c r="Q73" s="1401"/>
      <c r="R73" s="1399"/>
      <c r="S73" s="1323" t="str">
        <f t="shared" si="26"/>
        <v/>
      </c>
      <c r="T73" s="1337"/>
      <c r="U73" s="1324" t="str">
        <f t="shared" ref="U73:U87" si="31">IF(M73="","",IF(P73=AM73,AE73,IF(P73=AN73,ROUND(AE73/Z73,9),IF(P73=AO73,ROUND(AE73/AA73,9)))))</f>
        <v/>
      </c>
      <c r="V73" s="1332" t="str">
        <f t="shared" si="27"/>
        <v/>
      </c>
      <c r="W73" s="1333"/>
      <c r="X73" s="1325" t="str">
        <f t="shared" si="28"/>
        <v/>
      </c>
      <c r="Y73" s="1326" t="str">
        <f t="shared" ref="Y73:Y87" si="32">IF(M73="","",IF(T73&gt;0,N73*T73-W73,N73*U73-W73))</f>
        <v/>
      </c>
      <c r="Z73" s="1230" t="str" cm="1">
        <f t="array" ref="Z73">IF(M73="","",IF(P73=AM73,1,Slookup(MID(AM73,1,3)*1,UomConversion!$D$8:$J$500,5,UomConversion!$E$8:$E$500,MID(P73,1,3)*1,UomConversion!$J$8:$J$500,1)))</f>
        <v/>
      </c>
      <c r="AA73" s="1230" t="str">
        <f t="shared" ref="AA73:AA87" si="33">IF(AND(M73="",ISNA(VLOOKUP(I73,product_list,19,FALSE))),"",VLOOKUP(I73,product_list,19,FALSE))</f>
        <v/>
      </c>
      <c r="AB73" s="1231" t="str">
        <f t="shared" ref="AB73:AB87" si="34">IF(M73="","",IF(O73*U73&gt;0,O73*U73,0)+W73)</f>
        <v/>
      </c>
      <c r="AC73" s="1232" t="str">
        <f t="shared" ref="AC73:AC87" si="35">IF(M73="","",IF(P73=AM73,AD73,IF(P73=AN73,ROUND(AD73/Z73,9),IF(P73=AO73,ROUND(AD73/AA73,9)))))</f>
        <v/>
      </c>
      <c r="AD73" s="1230" t="str">
        <f>IF(M73="","",VLOOKUP(I73,product_list,12,FALSE))</f>
        <v/>
      </c>
      <c r="AE73" s="1231" t="str">
        <f>IFERROR(IF(M73="","",IF(invoice_price_type_id=1,VLOOKUP(I73,product_list,13,FALSE),IF(invoice_price_type_id=2,VLOOKUP(I73,product_list,14,FALSE),IF(invoice_price_type_id=3,VLOOKUP(I73,product_list,15,FALSE),IF(invoice_price_type_id=4,VLOOKUP(I73,product_list,16,FALSE),IF(invoice_price_type_id=5,VLOOKUP(I73,product_list,12,FALSE),"")))))),"")</f>
        <v/>
      </c>
      <c r="AF73" s="1233" t="str">
        <f t="shared" ref="AF73:AF87" si="36">IF(M73="","",VLOOKUP(I73,product_list,20,FALSE))</f>
        <v/>
      </c>
      <c r="AG73" s="1230" t="str">
        <f>IF(I73="","",IF(ISNA(MATCH(I73,IF(invoice_location_id=1,'[1]1_inventory_totals'!$C$8:$C$10000,IF(invoice_location_id=2,'[1]2_inventory_totals'!$C$8:$C$10000,0)),0)),0,IF(AU73&gt;0,1,0)))</f>
        <v/>
      </c>
      <c r="AH73" s="1230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I73" s="1230" t="str">
        <f>IF(M73="","",IF(ISNA(MATCH(I73,'[1]1_group_totals'!$C$8:$C$10000)),0,IF(AV73&gt;0,1,0)))</f>
        <v/>
      </c>
      <c r="AJ73" s="1230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K73" s="1230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L73" s="1230" t="str">
        <f>IF(M73="","",SUMIFS('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M73" s="1230" t="str">
        <f>IF(M73="","",VLOOKUP(I73,product_list,11,FALSE))</f>
        <v/>
      </c>
      <c r="AN73" s="1230" t="str">
        <f>IF(OR(ISNA(MATCH(MID(AM73,1,3)*1,UomConversion!$D$8:$D$500,0)),M73=""),"",IF(AS73="","",AS73))</f>
        <v/>
      </c>
      <c r="AO73" s="1230" t="str">
        <f>IF(AND(AP73&gt;0,COUNTIFS(UomConversion!$D$8:$D$500,MID(AM73,1,3)*1,UomConversion!$J$8:$J$500,1)&gt;1),TEXT(AP73,"000")&amp;"."&amp;VLOOKUP(AP73,uom_list,4,FALSE),"")</f>
        <v/>
      </c>
      <c r="AP73" s="1230" t="str">
        <f t="shared" ref="AP73:AP87" si="37">IF(AND(AT73&gt;0,M73&lt;&gt;""),AT73,"")</f>
        <v/>
      </c>
      <c r="AQ73" s="1230" t="str">
        <f t="shared" ref="AQ73:AQ87" si="38">IF(M73="","",IF(Z73&gt;0,AA73/Z73,""))</f>
        <v/>
      </c>
      <c r="AR73" s="204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S73" s="126" t="str">
        <f t="shared" ref="AS73:AS87" si="39">IF(OR(ISNA(VLOOKUP(MID(AM73,1,3)*1,uom_converion_list,2,FALSE)),M73=""),"",TEXT(VLOOKUP(MID(AM73,1,3)*1,uom_converion_list,2,FALSE),"000")&amp;"."&amp;VLOOKUP(VLOOKUP(MID(AM73,1,3)*1,uom_converion_list,2,FALSE),uom_list,4,FALSE))</f>
        <v/>
      </c>
      <c r="AT73" s="126" t="str" cm="1">
        <f t="array" ref="AT73">IF(M73="","",IF(ISNA(Slookup(MID(AM73,1,3)*1,UomConversion!$D$8:$J$500,2,UomConversion!$I$8:$I$500,1,UomConversion!$J$8:$J$500,1)),"",Slookup(MID(AM73,1,3)*1,UomConversion!$D$8:$J$500,2,UomConversion!$I$8:$I$500,1,UomConversion!$J$8:$J$500,1)))</f>
        <v/>
      </c>
      <c r="AU73" s="12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V73" s="143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W73" s="204" t="str">
        <f t="shared" ref="AW73:AW87" si="40">IF(M73="","",IF((N73+O73)*(AA73/Z73)&gt;0,(N73+O73)*(AA73/Z73),0))</f>
        <v/>
      </c>
      <c r="AX73" s="204" t="str">
        <f>IF(M73="","",SUMIFS($AW$8:AW73,$I$8:I73,I73))</f>
        <v/>
      </c>
      <c r="AY73" s="204" t="str">
        <f t="shared" ref="AY73:AY87" si="41">IF(M73="","",AK73-AX73)</f>
        <v/>
      </c>
    </row>
    <row r="74" spans="1:51" ht="27" customHeight="1">
      <c r="A74" s="765"/>
      <c r="B74" s="1358"/>
      <c r="C74" s="984"/>
      <c r="D74" s="984"/>
      <c r="E74" s="984"/>
      <c r="F74" s="1369"/>
      <c r="G74" s="213"/>
      <c r="H74" s="906"/>
      <c r="I74" s="426" t="str">
        <f t="shared" si="29"/>
        <v/>
      </c>
      <c r="J74" s="1327" t="str">
        <f t="shared" si="30"/>
        <v/>
      </c>
      <c r="K74" s="1320" t="str">
        <f t="shared" si="25"/>
        <v/>
      </c>
      <c r="L74" s="1321"/>
      <c r="M74" s="1311"/>
      <c r="N74" s="1322"/>
      <c r="O74" s="1322"/>
      <c r="P74" s="1311"/>
      <c r="Q74" s="1401"/>
      <c r="R74" s="1399"/>
      <c r="S74" s="1323" t="str">
        <f t="shared" si="26"/>
        <v/>
      </c>
      <c r="T74" s="1337"/>
      <c r="U74" s="1324" t="str">
        <f t="shared" si="31"/>
        <v/>
      </c>
      <c r="V74" s="1332" t="str">
        <f t="shared" si="27"/>
        <v/>
      </c>
      <c r="W74" s="1333"/>
      <c r="X74" s="1325" t="str">
        <f t="shared" si="28"/>
        <v/>
      </c>
      <c r="Y74" s="1326" t="str">
        <f t="shared" si="32"/>
        <v/>
      </c>
      <c r="Z74" s="1230" t="str" cm="1">
        <f t="array" ref="Z74">IF(M74="","",IF(P74=AM74,1,Slookup(MID(AM74,1,3)*1,UomConversion!$D$8:$J$500,5,UomConversion!$E$8:$E$500,MID(P74,1,3)*1,UomConversion!$J$8:$J$500,1)))</f>
        <v/>
      </c>
      <c r="AA74" s="1230" t="str">
        <f t="shared" si="33"/>
        <v/>
      </c>
      <c r="AB74" s="1231" t="str">
        <f t="shared" si="34"/>
        <v/>
      </c>
      <c r="AC74" s="1232" t="str">
        <f t="shared" si="35"/>
        <v/>
      </c>
      <c r="AD74" s="1230" t="str">
        <f>IF(M74="","",VLOOKUP(I74,product_list,12,FALSE))</f>
        <v/>
      </c>
      <c r="AE74" s="1231" t="str">
        <f>IFERROR(IF(M74="","",IF(invoice_price_type_id=1,VLOOKUP(I74,product_list,13,FALSE),IF(invoice_price_type_id=2,VLOOKUP(I74,product_list,14,FALSE),IF(invoice_price_type_id=3,VLOOKUP(I74,product_list,15,FALSE),IF(invoice_price_type_id=4,VLOOKUP(I74,product_list,16,FALSE),IF(invoice_price_type_id=5,VLOOKUP(I74,product_list,12,FALSE),"")))))),"")</f>
        <v/>
      </c>
      <c r="AF74" s="1233" t="str">
        <f t="shared" si="36"/>
        <v/>
      </c>
      <c r="AG74" s="1230" t="str">
        <f>IF(I74="","",IF(ISNA(MATCH(I74,IF(invoice_location_id=1,'[1]1_inventory_totals'!$C$8:$C$10000,IF(invoice_location_id=2,'[1]2_inventory_totals'!$C$8:$C$10000,0)),0)),0,IF(AU74&gt;0,1,0)))</f>
        <v/>
      </c>
      <c r="AH74" s="1230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I74" s="1230" t="str">
        <f>IF(M74="","",IF(ISNA(MATCH(I74,'[1]1_group_totals'!$C$8:$C$10000)),0,IF(AV74&gt;0,1,0)))</f>
        <v/>
      </c>
      <c r="AJ74" s="1230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K74" s="1230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L74" s="1230" t="str">
        <f>IF(M74="","",SUMIFS('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M74" s="1230" t="str">
        <f>IF(M74="","",VLOOKUP(I74,product_list,11,FALSE))</f>
        <v/>
      </c>
      <c r="AN74" s="1230" t="str">
        <f>IF(OR(ISNA(MATCH(MID(AM74,1,3)*1,UomConversion!$D$8:$D$500,0)),M74=""),"",IF(AS74="","",AS74))</f>
        <v/>
      </c>
      <c r="AO74" s="1230" t="str">
        <f>IF(AND(AP74&gt;0,COUNTIFS(UomConversion!$D$8:$D$500,MID(AM74,1,3)*1,UomConversion!$J$8:$J$500,1)&gt;1),TEXT(AP74,"000")&amp;"."&amp;VLOOKUP(AP74,uom_list,4,FALSE),"")</f>
        <v/>
      </c>
      <c r="AP74" s="1230" t="str">
        <f t="shared" si="37"/>
        <v/>
      </c>
      <c r="AQ74" s="1230" t="str">
        <f t="shared" si="38"/>
        <v/>
      </c>
      <c r="AR74" s="204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S74" s="126" t="str">
        <f t="shared" si="39"/>
        <v/>
      </c>
      <c r="AT74" s="126" t="str" cm="1">
        <f t="array" ref="AT74">IF(M74="","",IF(ISNA(Slookup(MID(AM74,1,3)*1,UomConversion!$D$8:$J$500,2,UomConversion!$I$8:$I$500,1,UomConversion!$J$8:$J$500,1)),"",Slookup(MID(AM74,1,3)*1,UomConversion!$D$8:$J$500,2,UomConversion!$I$8:$I$500,1,UomConversion!$J$8:$J$500,1)))</f>
        <v/>
      </c>
      <c r="AU74" s="12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V74" s="143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W74" s="204" t="str">
        <f t="shared" si="40"/>
        <v/>
      </c>
      <c r="AX74" s="204" t="str">
        <f>IF(M74="","",SUMIFS($AW$8:AW74,$I$8:I74,I74))</f>
        <v/>
      </c>
      <c r="AY74" s="204" t="str">
        <f t="shared" si="41"/>
        <v/>
      </c>
    </row>
    <row r="75" spans="1:51" ht="27" customHeight="1">
      <c r="A75" s="765"/>
      <c r="B75" s="1358"/>
      <c r="C75" s="984"/>
      <c r="D75" s="984"/>
      <c r="E75" s="984"/>
      <c r="F75" s="1369"/>
      <c r="G75" s="213"/>
      <c r="H75" s="906"/>
      <c r="I75" s="426" t="str">
        <f t="shared" si="29"/>
        <v/>
      </c>
      <c r="J75" s="1327" t="str">
        <f t="shared" si="30"/>
        <v/>
      </c>
      <c r="K75" s="1320" t="str">
        <f t="shared" si="25"/>
        <v/>
      </c>
      <c r="L75" s="1321"/>
      <c r="M75" s="1311"/>
      <c r="N75" s="1322"/>
      <c r="O75" s="1322"/>
      <c r="P75" s="1311"/>
      <c r="Q75" s="1401"/>
      <c r="R75" s="1399"/>
      <c r="S75" s="1323" t="str">
        <f t="shared" si="26"/>
        <v/>
      </c>
      <c r="T75" s="1337"/>
      <c r="U75" s="1324" t="str">
        <f t="shared" si="31"/>
        <v/>
      </c>
      <c r="V75" s="1332" t="str">
        <f t="shared" si="27"/>
        <v/>
      </c>
      <c r="W75" s="1333"/>
      <c r="X75" s="1325" t="str">
        <f t="shared" si="28"/>
        <v/>
      </c>
      <c r="Y75" s="1326" t="str">
        <f t="shared" si="32"/>
        <v/>
      </c>
      <c r="Z75" s="1230" t="str" cm="1">
        <f t="array" ref="Z75">IF(M75="","",IF(P75=AM75,1,Slookup(MID(AM75,1,3)*1,UomConversion!$D$8:$J$500,5,UomConversion!$E$8:$E$500,MID(P75,1,3)*1,UomConversion!$J$8:$J$500,1)))</f>
        <v/>
      </c>
      <c r="AA75" s="1230" t="str">
        <f t="shared" si="33"/>
        <v/>
      </c>
      <c r="AB75" s="1231" t="str">
        <f t="shared" si="34"/>
        <v/>
      </c>
      <c r="AC75" s="1232" t="str">
        <f t="shared" si="35"/>
        <v/>
      </c>
      <c r="AD75" s="1230" t="str">
        <f>IF(M75="","",VLOOKUP(I75,product_list,12,FALSE))</f>
        <v/>
      </c>
      <c r="AE75" s="1231" t="str">
        <f>IFERROR(IF(M75="","",IF(invoice_price_type_id=1,VLOOKUP(I75,product_list,13,FALSE),IF(invoice_price_type_id=2,VLOOKUP(I75,product_list,14,FALSE),IF(invoice_price_type_id=3,VLOOKUP(I75,product_list,15,FALSE),IF(invoice_price_type_id=4,VLOOKUP(I75,product_list,16,FALSE),IF(invoice_price_type_id=5,VLOOKUP(I75,product_list,12,FALSE),"")))))),"")</f>
        <v/>
      </c>
      <c r="AF75" s="1233" t="str">
        <f t="shared" si="36"/>
        <v/>
      </c>
      <c r="AG75" s="1230" t="str">
        <f>IF(I75="","",IF(ISNA(MATCH(I75,IF(invoice_location_id=1,'[1]1_inventory_totals'!$C$8:$C$10000,IF(invoice_location_id=2,'[1]2_inventory_totals'!$C$8:$C$10000,0)),0)),0,IF(AU75&gt;0,1,0)))</f>
        <v/>
      </c>
      <c r="AH75" s="1230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I75" s="1230" t="str">
        <f>IF(M75="","",IF(ISNA(MATCH(I75,'[1]1_group_totals'!$C$8:$C$10000)),0,IF(AV75&gt;0,1,0)))</f>
        <v/>
      </c>
      <c r="AJ75" s="1230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K75" s="1230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L75" s="1230" t="str">
        <f>IF(M75="","",SUMIFS('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M75" s="1230" t="str">
        <f>IF(M75="","",VLOOKUP(I75,product_list,11,FALSE))</f>
        <v/>
      </c>
      <c r="AN75" s="1230" t="str">
        <f>IF(OR(ISNA(MATCH(MID(AM75,1,3)*1,UomConversion!$D$8:$D$500,0)),M75=""),"",IF(AS75="","",AS75))</f>
        <v/>
      </c>
      <c r="AO75" s="1230" t="str">
        <f>IF(AND(AP75&gt;0,COUNTIFS(UomConversion!$D$8:$D$500,MID(AM75,1,3)*1,UomConversion!$J$8:$J$500,1)&gt;1),TEXT(AP75,"000")&amp;"."&amp;VLOOKUP(AP75,uom_list,4,FALSE),"")</f>
        <v/>
      </c>
      <c r="AP75" s="1230" t="str">
        <f t="shared" si="37"/>
        <v/>
      </c>
      <c r="AQ75" s="1230" t="str">
        <f t="shared" si="38"/>
        <v/>
      </c>
      <c r="AR75" s="204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S75" s="126" t="str">
        <f t="shared" si="39"/>
        <v/>
      </c>
      <c r="AT75" s="126" t="str" cm="1">
        <f t="array" ref="AT75">IF(M75="","",IF(ISNA(Slookup(MID(AM75,1,3)*1,UomConversion!$D$8:$J$500,2,UomConversion!$I$8:$I$500,1,UomConversion!$J$8:$J$500,1)),"",Slookup(MID(AM75,1,3)*1,UomConversion!$D$8:$J$500,2,UomConversion!$I$8:$I$500,1,UomConversion!$J$8:$J$500,1)))</f>
        <v/>
      </c>
      <c r="AU75" s="12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V75" s="143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W75" s="204" t="str">
        <f t="shared" si="40"/>
        <v/>
      </c>
      <c r="AX75" s="204" t="str">
        <f>IF(M75="","",SUMIFS($AW$8:AW75,$I$8:I75,I75))</f>
        <v/>
      </c>
      <c r="AY75" s="204" t="str">
        <f t="shared" si="41"/>
        <v/>
      </c>
    </row>
    <row r="76" spans="1:51" ht="27" customHeight="1">
      <c r="A76" s="765"/>
      <c r="B76" s="1358"/>
      <c r="C76" s="984"/>
      <c r="D76" s="984"/>
      <c r="E76" s="984"/>
      <c r="F76" s="1369"/>
      <c r="G76" s="213"/>
      <c r="H76" s="906"/>
      <c r="I76" s="426" t="str">
        <f t="shared" si="29"/>
        <v/>
      </c>
      <c r="J76" s="1327" t="str">
        <f t="shared" si="30"/>
        <v/>
      </c>
      <c r="K76" s="1320" t="str">
        <f t="shared" si="25"/>
        <v/>
      </c>
      <c r="L76" s="1321"/>
      <c r="M76" s="1311"/>
      <c r="N76" s="1322"/>
      <c r="O76" s="1322"/>
      <c r="P76" s="1311"/>
      <c r="Q76" s="1401"/>
      <c r="R76" s="1399"/>
      <c r="S76" s="1323" t="str">
        <f t="shared" si="26"/>
        <v/>
      </c>
      <c r="T76" s="1337"/>
      <c r="U76" s="1324" t="str">
        <f t="shared" si="31"/>
        <v/>
      </c>
      <c r="V76" s="1332" t="str">
        <f t="shared" si="27"/>
        <v/>
      </c>
      <c r="W76" s="1333"/>
      <c r="X76" s="1325" t="str">
        <f t="shared" si="28"/>
        <v/>
      </c>
      <c r="Y76" s="1326" t="str">
        <f t="shared" si="32"/>
        <v/>
      </c>
      <c r="Z76" s="1230" t="str" cm="1">
        <f t="array" ref="Z76">IF(M76="","",IF(P76=AM76,1,Slookup(MID(AM76,1,3)*1,UomConversion!$D$8:$J$500,5,UomConversion!$E$8:$E$500,MID(P76,1,3)*1,UomConversion!$J$8:$J$500,1)))</f>
        <v/>
      </c>
      <c r="AA76" s="1230" t="str">
        <f t="shared" si="33"/>
        <v/>
      </c>
      <c r="AB76" s="1231" t="str">
        <f t="shared" si="34"/>
        <v/>
      </c>
      <c r="AC76" s="1232" t="str">
        <f t="shared" si="35"/>
        <v/>
      </c>
      <c r="AD76" s="1230" t="str">
        <f>IF(M76="","",VLOOKUP(I76,product_list,12,FALSE))</f>
        <v/>
      </c>
      <c r="AE76" s="1231" t="str">
        <f>IFERROR(IF(M76="","",IF(invoice_price_type_id=1,VLOOKUP(I76,product_list,13,FALSE),IF(invoice_price_type_id=2,VLOOKUP(I76,product_list,14,FALSE),IF(invoice_price_type_id=3,VLOOKUP(I76,product_list,15,FALSE),IF(invoice_price_type_id=4,VLOOKUP(I76,product_list,16,FALSE),IF(invoice_price_type_id=5,VLOOKUP(I76,product_list,12,FALSE),"")))))),"")</f>
        <v/>
      </c>
      <c r="AF76" s="1233" t="str">
        <f t="shared" si="36"/>
        <v/>
      </c>
      <c r="AG76" s="1230" t="str">
        <f>IF(I76="","",IF(ISNA(MATCH(I76,IF(invoice_location_id=1,'[1]1_inventory_totals'!$C$8:$C$10000,IF(invoice_location_id=2,'[1]2_inventory_totals'!$C$8:$C$10000,0)),0)),0,IF(AU76&gt;0,1,0)))</f>
        <v/>
      </c>
      <c r="AH76" s="1230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I76" s="1230" t="str">
        <f>IF(M76="","",IF(ISNA(MATCH(I76,'[1]1_group_totals'!$C$8:$C$10000)),0,IF(AV76&gt;0,1,0)))</f>
        <v/>
      </c>
      <c r="AJ76" s="1230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K76" s="1230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L76" s="1230" t="str">
        <f>IF(M76="","",SUMIFS('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M76" s="1230" t="str">
        <f>IF(M76="","",VLOOKUP(I76,product_list,11,FALSE))</f>
        <v/>
      </c>
      <c r="AN76" s="1230" t="str">
        <f>IF(OR(ISNA(MATCH(MID(AM76,1,3)*1,UomConversion!$D$8:$D$500,0)),M76=""),"",IF(AS76="","",AS76))</f>
        <v/>
      </c>
      <c r="AO76" s="1230" t="str">
        <f>IF(AND(AP76&gt;0,COUNTIFS(UomConversion!$D$8:$D$500,MID(AM76,1,3)*1,UomConversion!$J$8:$J$500,1)&gt;1),TEXT(AP76,"000")&amp;"."&amp;VLOOKUP(AP76,uom_list,4,FALSE),"")</f>
        <v/>
      </c>
      <c r="AP76" s="1230" t="str">
        <f t="shared" si="37"/>
        <v/>
      </c>
      <c r="AQ76" s="1230" t="str">
        <f t="shared" si="38"/>
        <v/>
      </c>
      <c r="AR76" s="204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S76" s="126" t="str">
        <f t="shared" si="39"/>
        <v/>
      </c>
      <c r="AT76" s="126" t="str" cm="1">
        <f t="array" ref="AT76">IF(M76="","",IF(ISNA(Slookup(MID(AM76,1,3)*1,UomConversion!$D$8:$J$500,2,UomConversion!$I$8:$I$500,1,UomConversion!$J$8:$J$500,1)),"",Slookup(MID(AM76,1,3)*1,UomConversion!$D$8:$J$500,2,UomConversion!$I$8:$I$500,1,UomConversion!$J$8:$J$500,1)))</f>
        <v/>
      </c>
      <c r="AU76" s="12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V76" s="143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W76" s="204" t="str">
        <f t="shared" si="40"/>
        <v/>
      </c>
      <c r="AX76" s="204" t="str">
        <f>IF(M76="","",SUMIFS($AW$8:AW76,$I$8:I76,I76))</f>
        <v/>
      </c>
      <c r="AY76" s="204" t="str">
        <f t="shared" si="41"/>
        <v/>
      </c>
    </row>
    <row r="77" spans="1:51" ht="27" customHeight="1">
      <c r="A77" s="765"/>
      <c r="B77" s="1358"/>
      <c r="C77" s="984"/>
      <c r="D77" s="984"/>
      <c r="E77" s="984"/>
      <c r="F77" s="1369"/>
      <c r="G77" s="213"/>
      <c r="H77" s="906"/>
      <c r="I77" s="426" t="str">
        <f t="shared" si="29"/>
        <v/>
      </c>
      <c r="J77" s="1327" t="str">
        <f t="shared" si="30"/>
        <v/>
      </c>
      <c r="K77" s="1320" t="str">
        <f t="shared" si="25"/>
        <v/>
      </c>
      <c r="L77" s="1321"/>
      <c r="M77" s="1311"/>
      <c r="N77" s="1322"/>
      <c r="O77" s="1322"/>
      <c r="P77" s="1311"/>
      <c r="Q77" s="1401"/>
      <c r="R77" s="1399"/>
      <c r="S77" s="1323" t="str">
        <f t="shared" si="26"/>
        <v/>
      </c>
      <c r="T77" s="1337"/>
      <c r="U77" s="1324" t="str">
        <f t="shared" si="31"/>
        <v/>
      </c>
      <c r="V77" s="1332" t="str">
        <f t="shared" si="27"/>
        <v/>
      </c>
      <c r="W77" s="1333"/>
      <c r="X77" s="1325" t="str">
        <f t="shared" si="28"/>
        <v/>
      </c>
      <c r="Y77" s="1326" t="str">
        <f t="shared" si="32"/>
        <v/>
      </c>
      <c r="Z77" s="1230" t="str" cm="1">
        <f t="array" ref="Z77">IF(M77="","",IF(P77=AM77,1,Slookup(MID(AM77,1,3)*1,UomConversion!$D$8:$J$500,5,UomConversion!$E$8:$E$500,MID(P77,1,3)*1,UomConversion!$J$8:$J$500,1)))</f>
        <v/>
      </c>
      <c r="AA77" s="1230" t="str">
        <f t="shared" si="33"/>
        <v/>
      </c>
      <c r="AB77" s="1231" t="str">
        <f t="shared" si="34"/>
        <v/>
      </c>
      <c r="AC77" s="1232" t="str">
        <f t="shared" si="35"/>
        <v/>
      </c>
      <c r="AD77" s="1230" t="str">
        <f>IF(M77="","",VLOOKUP(I77,product_list,12,FALSE))</f>
        <v/>
      </c>
      <c r="AE77" s="1231" t="str">
        <f>IFERROR(IF(M77="","",IF(invoice_price_type_id=1,VLOOKUP(I77,product_list,13,FALSE),IF(invoice_price_type_id=2,VLOOKUP(I77,product_list,14,FALSE),IF(invoice_price_type_id=3,VLOOKUP(I77,product_list,15,FALSE),IF(invoice_price_type_id=4,VLOOKUP(I77,product_list,16,FALSE),IF(invoice_price_type_id=5,VLOOKUP(I77,product_list,12,FALSE),"")))))),"")</f>
        <v/>
      </c>
      <c r="AF77" s="1233" t="str">
        <f t="shared" si="36"/>
        <v/>
      </c>
      <c r="AG77" s="1230" t="str">
        <f>IF(I77="","",IF(ISNA(MATCH(I77,IF(invoice_location_id=1,'[1]1_inventory_totals'!$C$8:$C$10000,IF(invoice_location_id=2,'[1]2_inventory_totals'!$C$8:$C$10000,0)),0)),0,IF(AU77&gt;0,1,0)))</f>
        <v/>
      </c>
      <c r="AH77" s="1230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I77" s="1230" t="str">
        <f>IF(M77="","",IF(ISNA(MATCH(I77,'[1]1_group_totals'!$C$8:$C$10000)),0,IF(AV77&gt;0,1,0)))</f>
        <v/>
      </c>
      <c r="AJ77" s="1230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K77" s="1230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L77" s="1230" t="str">
        <f>IF(M77="","",SUMIFS('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M77" s="1230" t="str">
        <f>IF(M77="","",VLOOKUP(I77,product_list,11,FALSE))</f>
        <v/>
      </c>
      <c r="AN77" s="1230" t="str">
        <f>IF(OR(ISNA(MATCH(MID(AM77,1,3)*1,UomConversion!$D$8:$D$500,0)),M77=""),"",IF(AS77="","",AS77))</f>
        <v/>
      </c>
      <c r="AO77" s="1230" t="str">
        <f>IF(AND(AP77&gt;0,COUNTIFS(UomConversion!$D$8:$D$500,MID(AM77,1,3)*1,UomConversion!$J$8:$J$500,1)&gt;1),TEXT(AP77,"000")&amp;"."&amp;VLOOKUP(AP77,uom_list,4,FALSE),"")</f>
        <v/>
      </c>
      <c r="AP77" s="1230" t="str">
        <f t="shared" si="37"/>
        <v/>
      </c>
      <c r="AQ77" s="1230" t="str">
        <f t="shared" si="38"/>
        <v/>
      </c>
      <c r="AR77" s="204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S77" s="126" t="str">
        <f t="shared" si="39"/>
        <v/>
      </c>
      <c r="AT77" s="126" t="str" cm="1">
        <f t="array" ref="AT77">IF(M77="","",IF(ISNA(Slookup(MID(AM77,1,3)*1,UomConversion!$D$8:$J$500,2,UomConversion!$I$8:$I$500,1,UomConversion!$J$8:$J$500,1)),"",Slookup(MID(AM77,1,3)*1,UomConversion!$D$8:$J$500,2,UomConversion!$I$8:$I$500,1,UomConversion!$J$8:$J$500,1)))</f>
        <v/>
      </c>
      <c r="AU77" s="12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V77" s="143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W77" s="204" t="str">
        <f t="shared" si="40"/>
        <v/>
      </c>
      <c r="AX77" s="204" t="str">
        <f>IF(M77="","",SUMIFS($AW$8:AW77,$I$8:I77,I77))</f>
        <v/>
      </c>
      <c r="AY77" s="204" t="str">
        <f t="shared" si="41"/>
        <v/>
      </c>
    </row>
    <row r="78" spans="1:51" ht="27" customHeight="1">
      <c r="A78" s="765"/>
      <c r="B78" s="1358"/>
      <c r="C78" s="984"/>
      <c r="D78" s="984"/>
      <c r="E78" s="984"/>
      <c r="F78" s="1369"/>
      <c r="G78" s="213"/>
      <c r="H78" s="906"/>
      <c r="I78" s="426" t="str">
        <f t="shared" si="29"/>
        <v/>
      </c>
      <c r="J78" s="1327" t="str">
        <f t="shared" si="30"/>
        <v/>
      </c>
      <c r="K78" s="1320" t="str">
        <f t="shared" si="25"/>
        <v/>
      </c>
      <c r="L78" s="1321"/>
      <c r="M78" s="1311"/>
      <c r="N78" s="1322"/>
      <c r="O78" s="1322"/>
      <c r="P78" s="1311"/>
      <c r="Q78" s="1401"/>
      <c r="R78" s="1399"/>
      <c r="S78" s="1323" t="str">
        <f t="shared" si="26"/>
        <v/>
      </c>
      <c r="T78" s="1337"/>
      <c r="U78" s="1324" t="str">
        <f t="shared" si="31"/>
        <v/>
      </c>
      <c r="V78" s="1332" t="str">
        <f t="shared" si="27"/>
        <v/>
      </c>
      <c r="W78" s="1333"/>
      <c r="X78" s="1325" t="str">
        <f t="shared" si="28"/>
        <v/>
      </c>
      <c r="Y78" s="1326" t="str">
        <f t="shared" si="32"/>
        <v/>
      </c>
      <c r="Z78" s="1230" t="str" cm="1">
        <f t="array" ref="Z78">IF(M78="","",IF(P78=AM78,1,Slookup(MID(AM78,1,3)*1,UomConversion!$D$8:$J$500,5,UomConversion!$E$8:$E$500,MID(P78,1,3)*1,UomConversion!$J$8:$J$500,1)))</f>
        <v/>
      </c>
      <c r="AA78" s="1230" t="str">
        <f t="shared" si="33"/>
        <v/>
      </c>
      <c r="AB78" s="1231" t="str">
        <f t="shared" si="34"/>
        <v/>
      </c>
      <c r="AC78" s="1232" t="str">
        <f t="shared" si="35"/>
        <v/>
      </c>
      <c r="AD78" s="1230" t="str">
        <f>IF(M78="","",VLOOKUP(I78,product_list,12,FALSE))</f>
        <v/>
      </c>
      <c r="AE78" s="1231" t="str">
        <f>IFERROR(IF(M78="","",IF(invoice_price_type_id=1,VLOOKUP(I78,product_list,13,FALSE),IF(invoice_price_type_id=2,VLOOKUP(I78,product_list,14,FALSE),IF(invoice_price_type_id=3,VLOOKUP(I78,product_list,15,FALSE),IF(invoice_price_type_id=4,VLOOKUP(I78,product_list,16,FALSE),IF(invoice_price_type_id=5,VLOOKUP(I78,product_list,12,FALSE),"")))))),"")</f>
        <v/>
      </c>
      <c r="AF78" s="1233" t="str">
        <f t="shared" si="36"/>
        <v/>
      </c>
      <c r="AG78" s="1230" t="str">
        <f>IF(I78="","",IF(ISNA(MATCH(I78,IF(invoice_location_id=1,'[1]1_inventory_totals'!$C$8:$C$10000,IF(invoice_location_id=2,'[1]2_inventory_totals'!$C$8:$C$10000,0)),0)),0,IF(AU78&gt;0,1,0)))</f>
        <v/>
      </c>
      <c r="AH78" s="1230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I78" s="1230" t="str">
        <f>IF(M78="","",IF(ISNA(MATCH(I78,'[1]1_group_totals'!$C$8:$C$10000)),0,IF(AV78&gt;0,1,0)))</f>
        <v/>
      </c>
      <c r="AJ78" s="1230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K78" s="1230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L78" s="1230" t="str">
        <f>IF(M78="","",SUMIFS('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M78" s="1230" t="str">
        <f>IF(M78="","",VLOOKUP(I78,product_list,11,FALSE))</f>
        <v/>
      </c>
      <c r="AN78" s="1230" t="str">
        <f>IF(OR(ISNA(MATCH(MID(AM78,1,3)*1,UomConversion!$D$8:$D$500,0)),M78=""),"",IF(AS78="","",AS78))</f>
        <v/>
      </c>
      <c r="AO78" s="1230" t="str">
        <f>IF(AND(AP78&gt;0,COUNTIFS(UomConversion!$D$8:$D$500,MID(AM78,1,3)*1,UomConversion!$J$8:$J$500,1)&gt;1),TEXT(AP78,"000")&amp;"."&amp;VLOOKUP(AP78,uom_list,4,FALSE),"")</f>
        <v/>
      </c>
      <c r="AP78" s="1230" t="str">
        <f t="shared" si="37"/>
        <v/>
      </c>
      <c r="AQ78" s="1230" t="str">
        <f t="shared" si="38"/>
        <v/>
      </c>
      <c r="AR78" s="204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S78" s="126" t="str">
        <f t="shared" si="39"/>
        <v/>
      </c>
      <c r="AT78" s="126" t="str" cm="1">
        <f t="array" ref="AT78">IF(M78="","",IF(ISNA(Slookup(MID(AM78,1,3)*1,UomConversion!$D$8:$J$500,2,UomConversion!$I$8:$I$500,1,UomConversion!$J$8:$J$500,1)),"",Slookup(MID(AM78,1,3)*1,UomConversion!$D$8:$J$500,2,UomConversion!$I$8:$I$500,1,UomConversion!$J$8:$J$500,1)))</f>
        <v/>
      </c>
      <c r="AU78" s="12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V78" s="143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W78" s="204" t="str">
        <f t="shared" si="40"/>
        <v/>
      </c>
      <c r="AX78" s="204" t="str">
        <f>IF(M78="","",SUMIFS($AW$8:AW78,$I$8:I78,I78))</f>
        <v/>
      </c>
      <c r="AY78" s="204" t="str">
        <f t="shared" si="41"/>
        <v/>
      </c>
    </row>
    <row r="79" spans="1:51" ht="27" customHeight="1">
      <c r="A79" s="765"/>
      <c r="B79" s="1358"/>
      <c r="C79" s="984"/>
      <c r="D79" s="984"/>
      <c r="E79" s="984"/>
      <c r="F79" s="1369"/>
      <c r="G79" s="213"/>
      <c r="H79" s="906"/>
      <c r="I79" s="426" t="str">
        <f t="shared" si="29"/>
        <v/>
      </c>
      <c r="J79" s="1327" t="str">
        <f t="shared" si="30"/>
        <v/>
      </c>
      <c r="K79" s="1320" t="str">
        <f t="shared" si="25"/>
        <v/>
      </c>
      <c r="L79" s="1321"/>
      <c r="M79" s="1311"/>
      <c r="N79" s="1322"/>
      <c r="O79" s="1322"/>
      <c r="P79" s="1311"/>
      <c r="Q79" s="1401"/>
      <c r="R79" s="1399"/>
      <c r="S79" s="1323" t="str">
        <f t="shared" si="26"/>
        <v/>
      </c>
      <c r="T79" s="1337"/>
      <c r="U79" s="1324" t="str">
        <f t="shared" si="31"/>
        <v/>
      </c>
      <c r="V79" s="1332" t="str">
        <f t="shared" si="27"/>
        <v/>
      </c>
      <c r="W79" s="1333"/>
      <c r="X79" s="1325" t="str">
        <f t="shared" si="28"/>
        <v/>
      </c>
      <c r="Y79" s="1326" t="str">
        <f t="shared" si="32"/>
        <v/>
      </c>
      <c r="Z79" s="1230" t="str" cm="1">
        <f t="array" ref="Z79">IF(M79="","",IF(P79=AM79,1,Slookup(MID(AM79,1,3)*1,UomConversion!$D$8:$J$500,5,UomConversion!$E$8:$E$500,MID(P79,1,3)*1,UomConversion!$J$8:$J$500,1)))</f>
        <v/>
      </c>
      <c r="AA79" s="1230" t="str">
        <f t="shared" si="33"/>
        <v/>
      </c>
      <c r="AB79" s="1231" t="str">
        <f t="shared" si="34"/>
        <v/>
      </c>
      <c r="AC79" s="1232" t="str">
        <f t="shared" si="35"/>
        <v/>
      </c>
      <c r="AD79" s="1230" t="str">
        <f>IF(M79="","",VLOOKUP(I79,product_list,12,FALSE))</f>
        <v/>
      </c>
      <c r="AE79" s="1231" t="str">
        <f>IFERROR(IF(M79="","",IF(invoice_price_type_id=1,VLOOKUP(I79,product_list,13,FALSE),IF(invoice_price_type_id=2,VLOOKUP(I79,product_list,14,FALSE),IF(invoice_price_type_id=3,VLOOKUP(I79,product_list,15,FALSE),IF(invoice_price_type_id=4,VLOOKUP(I79,product_list,16,FALSE),IF(invoice_price_type_id=5,VLOOKUP(I79,product_list,12,FALSE),"")))))),"")</f>
        <v/>
      </c>
      <c r="AF79" s="1233" t="str">
        <f t="shared" si="36"/>
        <v/>
      </c>
      <c r="AG79" s="1230" t="str">
        <f>IF(I79="","",IF(ISNA(MATCH(I79,IF(invoice_location_id=1,'[1]1_inventory_totals'!$C$8:$C$10000,IF(invoice_location_id=2,'[1]2_inventory_totals'!$C$8:$C$10000,0)),0)),0,IF(AU79&gt;0,1,0)))</f>
        <v/>
      </c>
      <c r="AH79" s="1230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I79" s="1230" t="str">
        <f>IF(M79="","",IF(ISNA(MATCH(I79,'[1]1_group_totals'!$C$8:$C$10000)),0,IF(AV79&gt;0,1,0)))</f>
        <v/>
      </c>
      <c r="AJ79" s="1230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K79" s="1230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L79" s="1230" t="str">
        <f>IF(M79="","",SUMIFS('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M79" s="1230" t="str">
        <f>IF(M79="","",VLOOKUP(I79,product_list,11,FALSE))</f>
        <v/>
      </c>
      <c r="AN79" s="1230" t="str">
        <f>IF(OR(ISNA(MATCH(MID(AM79,1,3)*1,UomConversion!$D$8:$D$500,0)),M79=""),"",IF(AS79="","",AS79))</f>
        <v/>
      </c>
      <c r="AO79" s="1230" t="str">
        <f>IF(AND(AP79&gt;0,COUNTIFS(UomConversion!$D$8:$D$500,MID(AM79,1,3)*1,UomConversion!$J$8:$J$500,1)&gt;1),TEXT(AP79,"000")&amp;"."&amp;VLOOKUP(AP79,uom_list,4,FALSE),"")</f>
        <v/>
      </c>
      <c r="AP79" s="1230" t="str">
        <f t="shared" si="37"/>
        <v/>
      </c>
      <c r="AQ79" s="1230" t="str">
        <f t="shared" si="38"/>
        <v/>
      </c>
      <c r="AR79" s="204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S79" s="126" t="str">
        <f t="shared" si="39"/>
        <v/>
      </c>
      <c r="AT79" s="126" t="str" cm="1">
        <f t="array" ref="AT79">IF(M79="","",IF(ISNA(Slookup(MID(AM79,1,3)*1,UomConversion!$D$8:$J$500,2,UomConversion!$I$8:$I$500,1,UomConversion!$J$8:$J$500,1)),"",Slookup(MID(AM79,1,3)*1,UomConversion!$D$8:$J$500,2,UomConversion!$I$8:$I$500,1,UomConversion!$J$8:$J$500,1)))</f>
        <v/>
      </c>
      <c r="AU79" s="12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V79" s="143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W79" s="204" t="str">
        <f t="shared" si="40"/>
        <v/>
      </c>
      <c r="AX79" s="204" t="str">
        <f>IF(M79="","",SUMIFS($AW$8:AW79,$I$8:I79,I79))</f>
        <v/>
      </c>
      <c r="AY79" s="204" t="str">
        <f t="shared" si="41"/>
        <v/>
      </c>
    </row>
    <row r="80" spans="1:51" ht="27" customHeight="1">
      <c r="A80" s="765"/>
      <c r="B80" s="1358"/>
      <c r="C80" s="984"/>
      <c r="D80" s="984"/>
      <c r="E80" s="984"/>
      <c r="F80" s="1369"/>
      <c r="G80" s="213"/>
      <c r="H80" s="906"/>
      <c r="I80" s="426" t="str">
        <f t="shared" si="29"/>
        <v/>
      </c>
      <c r="J80" s="1327" t="str">
        <f t="shared" si="30"/>
        <v/>
      </c>
      <c r="K80" s="1320" t="str">
        <f t="shared" si="25"/>
        <v/>
      </c>
      <c r="L80" s="1321"/>
      <c r="M80" s="1311"/>
      <c r="N80" s="1322"/>
      <c r="O80" s="1322"/>
      <c r="P80" s="1311"/>
      <c r="Q80" s="1401"/>
      <c r="R80" s="1399"/>
      <c r="S80" s="1323" t="str">
        <f t="shared" si="26"/>
        <v/>
      </c>
      <c r="T80" s="1337"/>
      <c r="U80" s="1324" t="str">
        <f t="shared" si="31"/>
        <v/>
      </c>
      <c r="V80" s="1332" t="str">
        <f t="shared" si="27"/>
        <v/>
      </c>
      <c r="W80" s="1333"/>
      <c r="X80" s="1325" t="str">
        <f t="shared" si="28"/>
        <v/>
      </c>
      <c r="Y80" s="1326" t="str">
        <f t="shared" si="32"/>
        <v/>
      </c>
      <c r="Z80" s="1230" t="str" cm="1">
        <f t="array" ref="Z80">IF(M80="","",IF(P80=AM80,1,Slookup(MID(AM80,1,3)*1,UomConversion!$D$8:$J$500,5,UomConversion!$E$8:$E$500,MID(P80,1,3)*1,UomConversion!$J$8:$J$500,1)))</f>
        <v/>
      </c>
      <c r="AA80" s="1230" t="str">
        <f t="shared" si="33"/>
        <v/>
      </c>
      <c r="AB80" s="1231" t="str">
        <f t="shared" si="34"/>
        <v/>
      </c>
      <c r="AC80" s="1232" t="str">
        <f t="shared" si="35"/>
        <v/>
      </c>
      <c r="AD80" s="1230" t="str">
        <f>IF(M80="","",VLOOKUP(I80,product_list,12,FALSE))</f>
        <v/>
      </c>
      <c r="AE80" s="1231" t="str">
        <f>IFERROR(IF(M80="","",IF(invoice_price_type_id=1,VLOOKUP(I80,product_list,13,FALSE),IF(invoice_price_type_id=2,VLOOKUP(I80,product_list,14,FALSE),IF(invoice_price_type_id=3,VLOOKUP(I80,product_list,15,FALSE),IF(invoice_price_type_id=4,VLOOKUP(I80,product_list,16,FALSE),IF(invoice_price_type_id=5,VLOOKUP(I80,product_list,12,FALSE),"")))))),"")</f>
        <v/>
      </c>
      <c r="AF80" s="1233" t="str">
        <f t="shared" si="36"/>
        <v/>
      </c>
      <c r="AG80" s="1230" t="str">
        <f>IF(I80="","",IF(ISNA(MATCH(I80,IF(invoice_location_id=1,'[1]1_inventory_totals'!$C$8:$C$10000,IF(invoice_location_id=2,'[1]2_inventory_totals'!$C$8:$C$10000,0)),0)),0,IF(AU80&gt;0,1,0)))</f>
        <v/>
      </c>
      <c r="AH80" s="1230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I80" s="1230" t="str">
        <f>IF(M80="","",IF(ISNA(MATCH(I80,'[1]1_group_totals'!$C$8:$C$10000)),0,IF(AV80&gt;0,1,0)))</f>
        <v/>
      </c>
      <c r="AJ80" s="1230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K80" s="1230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L80" s="1230" t="str">
        <f>IF(M80="","",SUMIFS('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M80" s="1230" t="str">
        <f>IF(M80="","",VLOOKUP(I80,product_list,11,FALSE))</f>
        <v/>
      </c>
      <c r="AN80" s="1230" t="str">
        <f>IF(OR(ISNA(MATCH(MID(AM80,1,3)*1,UomConversion!$D$8:$D$500,0)),M80=""),"",IF(AS80="","",AS80))</f>
        <v/>
      </c>
      <c r="AO80" s="1230" t="str">
        <f>IF(AND(AP80&gt;0,COUNTIFS(UomConversion!$D$8:$D$500,MID(AM80,1,3)*1,UomConversion!$J$8:$J$500,1)&gt;1),TEXT(AP80,"000")&amp;"."&amp;VLOOKUP(AP80,uom_list,4,FALSE),"")</f>
        <v/>
      </c>
      <c r="AP80" s="1230" t="str">
        <f t="shared" si="37"/>
        <v/>
      </c>
      <c r="AQ80" s="1230" t="str">
        <f t="shared" si="38"/>
        <v/>
      </c>
      <c r="AR80" s="204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S80" s="126" t="str">
        <f t="shared" si="39"/>
        <v/>
      </c>
      <c r="AT80" s="126" t="str" cm="1">
        <f t="array" ref="AT80">IF(M80="","",IF(ISNA(Slookup(MID(AM80,1,3)*1,UomConversion!$D$8:$J$500,2,UomConversion!$I$8:$I$500,1,UomConversion!$J$8:$J$500,1)),"",Slookup(MID(AM80,1,3)*1,UomConversion!$D$8:$J$500,2,UomConversion!$I$8:$I$500,1,UomConversion!$J$8:$J$500,1)))</f>
        <v/>
      </c>
      <c r="AU80" s="12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V80" s="143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W80" s="204" t="str">
        <f t="shared" si="40"/>
        <v/>
      </c>
      <c r="AX80" s="204" t="str">
        <f>IF(M80="","",SUMIFS($AW$8:AW80,$I$8:I80,I80))</f>
        <v/>
      </c>
      <c r="AY80" s="204" t="str">
        <f t="shared" si="41"/>
        <v/>
      </c>
    </row>
    <row r="81" spans="1:51" ht="27" customHeight="1">
      <c r="A81" s="765"/>
      <c r="B81" s="1358"/>
      <c r="C81" s="984"/>
      <c r="D81" s="984"/>
      <c r="E81" s="984"/>
      <c r="F81" s="1369"/>
      <c r="G81" s="213"/>
      <c r="H81" s="906"/>
      <c r="I81" s="426" t="str">
        <f t="shared" si="29"/>
        <v/>
      </c>
      <c r="J81" s="1327" t="str">
        <f t="shared" si="30"/>
        <v/>
      </c>
      <c r="K81" s="1320" t="str">
        <f t="shared" si="25"/>
        <v/>
      </c>
      <c r="L81" s="1321"/>
      <c r="M81" s="1311"/>
      <c r="N81" s="1322"/>
      <c r="O81" s="1322"/>
      <c r="P81" s="1311"/>
      <c r="Q81" s="1401"/>
      <c r="R81" s="1399"/>
      <c r="S81" s="1323" t="str">
        <f t="shared" si="26"/>
        <v/>
      </c>
      <c r="T81" s="1337"/>
      <c r="U81" s="1324" t="str">
        <f t="shared" si="31"/>
        <v/>
      </c>
      <c r="V81" s="1332" t="str">
        <f t="shared" si="27"/>
        <v/>
      </c>
      <c r="W81" s="1333"/>
      <c r="X81" s="1325" t="str">
        <f t="shared" si="28"/>
        <v/>
      </c>
      <c r="Y81" s="1326" t="str">
        <f t="shared" si="32"/>
        <v/>
      </c>
      <c r="Z81" s="1230" t="str" cm="1">
        <f t="array" ref="Z81">IF(M81="","",IF(P81=AM81,1,Slookup(MID(AM81,1,3)*1,UomConversion!$D$8:$J$500,5,UomConversion!$E$8:$E$500,MID(P81,1,3)*1,UomConversion!$J$8:$J$500,1)))</f>
        <v/>
      </c>
      <c r="AA81" s="1230" t="str">
        <f t="shared" si="33"/>
        <v/>
      </c>
      <c r="AB81" s="1231" t="str">
        <f t="shared" si="34"/>
        <v/>
      </c>
      <c r="AC81" s="1232" t="str">
        <f t="shared" si="35"/>
        <v/>
      </c>
      <c r="AD81" s="1230" t="str">
        <f>IF(M81="","",VLOOKUP(I81,product_list,12,FALSE))</f>
        <v/>
      </c>
      <c r="AE81" s="1231" t="str">
        <f>IFERROR(IF(M81="","",IF(invoice_price_type_id=1,VLOOKUP(I81,product_list,13,FALSE),IF(invoice_price_type_id=2,VLOOKUP(I81,product_list,14,FALSE),IF(invoice_price_type_id=3,VLOOKUP(I81,product_list,15,FALSE),IF(invoice_price_type_id=4,VLOOKUP(I81,product_list,16,FALSE),IF(invoice_price_type_id=5,VLOOKUP(I81,product_list,12,FALSE),"")))))),"")</f>
        <v/>
      </c>
      <c r="AF81" s="1233" t="str">
        <f t="shared" si="36"/>
        <v/>
      </c>
      <c r="AG81" s="1230" t="str">
        <f>IF(I81="","",IF(ISNA(MATCH(I81,IF(invoice_location_id=1,'[1]1_inventory_totals'!$C$8:$C$10000,IF(invoice_location_id=2,'[1]2_inventory_totals'!$C$8:$C$10000,0)),0)),0,IF(AU81&gt;0,1,0)))</f>
        <v/>
      </c>
      <c r="AH81" s="1230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I81" s="1230" t="str">
        <f>IF(M81="","",IF(ISNA(MATCH(I81,'[1]1_group_totals'!$C$8:$C$10000)),0,IF(AV81&gt;0,1,0)))</f>
        <v/>
      </c>
      <c r="AJ81" s="1230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K81" s="1230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L81" s="1230" t="str">
        <f>IF(M81="","",SUMIFS('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M81" s="1230" t="str">
        <f>IF(M81="","",VLOOKUP(I81,product_list,11,FALSE))</f>
        <v/>
      </c>
      <c r="AN81" s="1230" t="str">
        <f>IF(OR(ISNA(MATCH(MID(AM81,1,3)*1,UomConversion!$D$8:$D$500,0)),M81=""),"",IF(AS81="","",AS81))</f>
        <v/>
      </c>
      <c r="AO81" s="1230" t="str">
        <f>IF(AND(AP81&gt;0,COUNTIFS(UomConversion!$D$8:$D$500,MID(AM81,1,3)*1,UomConversion!$J$8:$J$500,1)&gt;1),TEXT(AP81,"000")&amp;"."&amp;VLOOKUP(AP81,uom_list,4,FALSE),"")</f>
        <v/>
      </c>
      <c r="AP81" s="1230" t="str">
        <f t="shared" si="37"/>
        <v/>
      </c>
      <c r="AQ81" s="1230" t="str">
        <f t="shared" si="38"/>
        <v/>
      </c>
      <c r="AR81" s="204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S81" s="126" t="str">
        <f t="shared" si="39"/>
        <v/>
      </c>
      <c r="AT81" s="126" t="str" cm="1">
        <f t="array" ref="AT81">IF(M81="","",IF(ISNA(Slookup(MID(AM81,1,3)*1,UomConversion!$D$8:$J$500,2,UomConversion!$I$8:$I$500,1,UomConversion!$J$8:$J$500,1)),"",Slookup(MID(AM81,1,3)*1,UomConversion!$D$8:$J$500,2,UomConversion!$I$8:$I$500,1,UomConversion!$J$8:$J$500,1)))</f>
        <v/>
      </c>
      <c r="AU81" s="12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V81" s="143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W81" s="204" t="str">
        <f t="shared" si="40"/>
        <v/>
      </c>
      <c r="AX81" s="204" t="str">
        <f>IF(M81="","",SUMIFS($AW$8:AW81,$I$8:I81,I81))</f>
        <v/>
      </c>
      <c r="AY81" s="204" t="str">
        <f t="shared" si="41"/>
        <v/>
      </c>
    </row>
    <row r="82" spans="1:51" ht="27" customHeight="1">
      <c r="A82" s="765"/>
      <c r="B82" s="1358"/>
      <c r="C82" s="984"/>
      <c r="D82" s="984"/>
      <c r="E82" s="984"/>
      <c r="F82" s="1369"/>
      <c r="G82" s="213"/>
      <c r="H82" s="906"/>
      <c r="I82" s="426" t="str">
        <f t="shared" si="29"/>
        <v/>
      </c>
      <c r="J82" s="1327" t="str">
        <f t="shared" si="30"/>
        <v/>
      </c>
      <c r="K82" s="1320" t="str">
        <f t="shared" si="25"/>
        <v/>
      </c>
      <c r="L82" s="1321"/>
      <c r="M82" s="1311"/>
      <c r="N82" s="1322"/>
      <c r="O82" s="1322"/>
      <c r="P82" s="1311"/>
      <c r="Q82" s="1401"/>
      <c r="R82" s="1399"/>
      <c r="S82" s="1323" t="str">
        <f t="shared" si="26"/>
        <v/>
      </c>
      <c r="T82" s="1337"/>
      <c r="U82" s="1324" t="str">
        <f t="shared" si="31"/>
        <v/>
      </c>
      <c r="V82" s="1332" t="str">
        <f t="shared" si="27"/>
        <v/>
      </c>
      <c r="W82" s="1333"/>
      <c r="X82" s="1325" t="str">
        <f t="shared" si="28"/>
        <v/>
      </c>
      <c r="Y82" s="1326" t="str">
        <f t="shared" si="32"/>
        <v/>
      </c>
      <c r="Z82" s="1230" t="str" cm="1">
        <f t="array" ref="Z82">IF(M82="","",IF(P82=AM82,1,Slookup(MID(AM82,1,3)*1,UomConversion!$D$8:$J$500,5,UomConversion!$E$8:$E$500,MID(P82,1,3)*1,UomConversion!$J$8:$J$500,1)))</f>
        <v/>
      </c>
      <c r="AA82" s="1230" t="str">
        <f t="shared" si="33"/>
        <v/>
      </c>
      <c r="AB82" s="1231" t="str">
        <f t="shared" si="34"/>
        <v/>
      </c>
      <c r="AC82" s="1232" t="str">
        <f t="shared" si="35"/>
        <v/>
      </c>
      <c r="AD82" s="1230" t="str">
        <f>IF(M82="","",VLOOKUP(I82,product_list,12,FALSE))</f>
        <v/>
      </c>
      <c r="AE82" s="1231" t="str">
        <f>IFERROR(IF(M82="","",IF(invoice_price_type_id=1,VLOOKUP(I82,product_list,13,FALSE),IF(invoice_price_type_id=2,VLOOKUP(I82,product_list,14,FALSE),IF(invoice_price_type_id=3,VLOOKUP(I82,product_list,15,FALSE),IF(invoice_price_type_id=4,VLOOKUP(I82,product_list,16,FALSE),IF(invoice_price_type_id=5,VLOOKUP(I82,product_list,12,FALSE),"")))))),"")</f>
        <v/>
      </c>
      <c r="AF82" s="1233" t="str">
        <f t="shared" si="36"/>
        <v/>
      </c>
      <c r="AG82" s="1230" t="str">
        <f>IF(I82="","",IF(ISNA(MATCH(I82,IF(invoice_location_id=1,'[1]1_inventory_totals'!$C$8:$C$10000,IF(invoice_location_id=2,'[1]2_inventory_totals'!$C$8:$C$10000,0)),0)),0,IF(AU82&gt;0,1,0)))</f>
        <v/>
      </c>
      <c r="AH82" s="1230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I82" s="1230" t="str">
        <f>IF(M82="","",IF(ISNA(MATCH(I82,'[1]1_group_totals'!$C$8:$C$10000)),0,IF(AV82&gt;0,1,0)))</f>
        <v/>
      </c>
      <c r="AJ82" s="1230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K82" s="1230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L82" s="1230" t="str">
        <f>IF(M82="","",SUMIFS('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M82" s="1230" t="str">
        <f>IF(M82="","",VLOOKUP(I82,product_list,11,FALSE))</f>
        <v/>
      </c>
      <c r="AN82" s="1230" t="str">
        <f>IF(OR(ISNA(MATCH(MID(AM82,1,3)*1,UomConversion!$D$8:$D$500,0)),M82=""),"",IF(AS82="","",AS82))</f>
        <v/>
      </c>
      <c r="AO82" s="1230" t="str">
        <f>IF(AND(AP82&gt;0,COUNTIFS(UomConversion!$D$8:$D$500,MID(AM82,1,3)*1,UomConversion!$J$8:$J$500,1)&gt;1),TEXT(AP82,"000")&amp;"."&amp;VLOOKUP(AP82,uom_list,4,FALSE),"")</f>
        <v/>
      </c>
      <c r="AP82" s="1230" t="str">
        <f t="shared" si="37"/>
        <v/>
      </c>
      <c r="AQ82" s="1230" t="str">
        <f t="shared" si="38"/>
        <v/>
      </c>
      <c r="AR82" s="204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S82" s="126" t="str">
        <f t="shared" si="39"/>
        <v/>
      </c>
      <c r="AT82" s="126" t="str" cm="1">
        <f t="array" ref="AT82">IF(M82="","",IF(ISNA(Slookup(MID(AM82,1,3)*1,UomConversion!$D$8:$J$500,2,UomConversion!$I$8:$I$500,1,UomConversion!$J$8:$J$500,1)),"",Slookup(MID(AM82,1,3)*1,UomConversion!$D$8:$J$500,2,UomConversion!$I$8:$I$500,1,UomConversion!$J$8:$J$500,1)))</f>
        <v/>
      </c>
      <c r="AU82" s="12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V82" s="143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W82" s="204" t="str">
        <f t="shared" si="40"/>
        <v/>
      </c>
      <c r="AX82" s="204" t="str">
        <f>IF(M82="","",SUMIFS($AW$8:AW82,$I$8:I82,I82))</f>
        <v/>
      </c>
      <c r="AY82" s="204" t="str">
        <f t="shared" si="41"/>
        <v/>
      </c>
    </row>
    <row r="83" spans="1:51" ht="27" customHeight="1">
      <c r="A83" s="765"/>
      <c r="B83" s="1358"/>
      <c r="C83" s="984"/>
      <c r="D83" s="984"/>
      <c r="E83" s="984"/>
      <c r="F83" s="1369"/>
      <c r="G83" s="213"/>
      <c r="H83" s="906"/>
      <c r="I83" s="426" t="str">
        <f t="shared" si="29"/>
        <v/>
      </c>
      <c r="J83" s="1327" t="str">
        <f t="shared" si="30"/>
        <v/>
      </c>
      <c r="K83" s="1320" t="str">
        <f t="shared" si="25"/>
        <v/>
      </c>
      <c r="L83" s="1321"/>
      <c r="M83" s="1311"/>
      <c r="N83" s="1322"/>
      <c r="O83" s="1322"/>
      <c r="P83" s="1311"/>
      <c r="Q83" s="1401"/>
      <c r="R83" s="1399"/>
      <c r="S83" s="1323" t="str">
        <f t="shared" si="26"/>
        <v/>
      </c>
      <c r="T83" s="1337"/>
      <c r="U83" s="1324" t="str">
        <f t="shared" si="31"/>
        <v/>
      </c>
      <c r="V83" s="1332" t="str">
        <f t="shared" si="27"/>
        <v/>
      </c>
      <c r="W83" s="1333"/>
      <c r="X83" s="1325" t="str">
        <f t="shared" si="28"/>
        <v/>
      </c>
      <c r="Y83" s="1326" t="str">
        <f t="shared" si="32"/>
        <v/>
      </c>
      <c r="Z83" s="1230" t="str" cm="1">
        <f t="array" ref="Z83">IF(M83="","",IF(P83=AM83,1,Slookup(MID(AM83,1,3)*1,UomConversion!$D$8:$J$500,5,UomConversion!$E$8:$E$500,MID(P83,1,3)*1,UomConversion!$J$8:$J$500,1)))</f>
        <v/>
      </c>
      <c r="AA83" s="1230" t="str">
        <f t="shared" si="33"/>
        <v/>
      </c>
      <c r="AB83" s="1231" t="str">
        <f t="shared" si="34"/>
        <v/>
      </c>
      <c r="AC83" s="1232" t="str">
        <f t="shared" si="35"/>
        <v/>
      </c>
      <c r="AD83" s="1230" t="str">
        <f>IF(M83="","",VLOOKUP(I83,product_list,12,FALSE))</f>
        <v/>
      </c>
      <c r="AE83" s="1231" t="str">
        <f>IFERROR(IF(M83="","",IF(invoice_price_type_id=1,VLOOKUP(I83,product_list,13,FALSE),IF(invoice_price_type_id=2,VLOOKUP(I83,product_list,14,FALSE),IF(invoice_price_type_id=3,VLOOKUP(I83,product_list,15,FALSE),IF(invoice_price_type_id=4,VLOOKUP(I83,product_list,16,FALSE),IF(invoice_price_type_id=5,VLOOKUP(I83,product_list,12,FALSE),"")))))),"")</f>
        <v/>
      </c>
      <c r="AF83" s="1233" t="str">
        <f t="shared" si="36"/>
        <v/>
      </c>
      <c r="AG83" s="1230" t="str">
        <f>IF(I83="","",IF(ISNA(MATCH(I83,IF(invoice_location_id=1,'[1]1_inventory_totals'!$C$8:$C$10000,IF(invoice_location_id=2,'[1]2_inventory_totals'!$C$8:$C$10000,0)),0)),0,IF(AU83&gt;0,1,0)))</f>
        <v/>
      </c>
      <c r="AH83" s="1230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I83" s="1230" t="str">
        <f>IF(M83="","",IF(ISNA(MATCH(I83,'[1]1_group_totals'!$C$8:$C$10000)),0,IF(AV83&gt;0,1,0)))</f>
        <v/>
      </c>
      <c r="AJ83" s="1230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K83" s="1230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L83" s="1230" t="str">
        <f>IF(M83="","",SUMIFS('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M83" s="1230" t="str">
        <f>IF(M83="","",VLOOKUP(I83,product_list,11,FALSE))</f>
        <v/>
      </c>
      <c r="AN83" s="1230" t="str">
        <f>IF(OR(ISNA(MATCH(MID(AM83,1,3)*1,UomConversion!$D$8:$D$500,0)),M83=""),"",IF(AS83="","",AS83))</f>
        <v/>
      </c>
      <c r="AO83" s="1230" t="str">
        <f>IF(AND(AP83&gt;0,COUNTIFS(UomConversion!$D$8:$D$500,MID(AM83,1,3)*1,UomConversion!$J$8:$J$500,1)&gt;1),TEXT(AP83,"000")&amp;"."&amp;VLOOKUP(AP83,uom_list,4,FALSE),"")</f>
        <v/>
      </c>
      <c r="AP83" s="1230" t="str">
        <f t="shared" si="37"/>
        <v/>
      </c>
      <c r="AQ83" s="1230" t="str">
        <f t="shared" si="38"/>
        <v/>
      </c>
      <c r="AR83" s="204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S83" s="126" t="str">
        <f t="shared" si="39"/>
        <v/>
      </c>
      <c r="AT83" s="126" t="str" cm="1">
        <f t="array" ref="AT83">IF(M83="","",IF(ISNA(Slookup(MID(AM83,1,3)*1,UomConversion!$D$8:$J$500,2,UomConversion!$I$8:$I$500,1,UomConversion!$J$8:$J$500,1)),"",Slookup(MID(AM83,1,3)*1,UomConversion!$D$8:$J$500,2,UomConversion!$I$8:$I$500,1,UomConversion!$J$8:$J$500,1)))</f>
        <v/>
      </c>
      <c r="AU83" s="12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V83" s="143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W83" s="204" t="str">
        <f t="shared" si="40"/>
        <v/>
      </c>
      <c r="AX83" s="204" t="str">
        <f>IF(M83="","",SUMIFS($AW$8:AW83,$I$8:I83,I83))</f>
        <v/>
      </c>
      <c r="AY83" s="204" t="str">
        <f t="shared" si="41"/>
        <v/>
      </c>
    </row>
    <row r="84" spans="1:51" ht="27" customHeight="1">
      <c r="A84" s="765"/>
      <c r="B84" s="1358"/>
      <c r="C84" s="984"/>
      <c r="D84" s="984"/>
      <c r="E84" s="984"/>
      <c r="F84" s="1369"/>
      <c r="G84" s="213"/>
      <c r="H84" s="906"/>
      <c r="I84" s="426" t="str">
        <f t="shared" si="29"/>
        <v/>
      </c>
      <c r="J84" s="1327" t="str">
        <f t="shared" si="30"/>
        <v/>
      </c>
      <c r="K84" s="1320" t="str">
        <f t="shared" si="25"/>
        <v/>
      </c>
      <c r="L84" s="1321"/>
      <c r="M84" s="1311"/>
      <c r="N84" s="1322"/>
      <c r="O84" s="1322"/>
      <c r="P84" s="1311"/>
      <c r="Q84" s="1401"/>
      <c r="R84" s="1399"/>
      <c r="S84" s="1323" t="str">
        <f t="shared" si="26"/>
        <v/>
      </c>
      <c r="T84" s="1337"/>
      <c r="U84" s="1324" t="str">
        <f t="shared" si="31"/>
        <v/>
      </c>
      <c r="V84" s="1332" t="str">
        <f t="shared" si="27"/>
        <v/>
      </c>
      <c r="W84" s="1333"/>
      <c r="X84" s="1325" t="str">
        <f t="shared" si="28"/>
        <v/>
      </c>
      <c r="Y84" s="1326" t="str">
        <f t="shared" si="32"/>
        <v/>
      </c>
      <c r="Z84" s="1230" t="str" cm="1">
        <f t="array" ref="Z84">IF(M84="","",IF(P84=AM84,1,Slookup(MID(AM84,1,3)*1,UomConversion!$D$8:$J$500,5,UomConversion!$E$8:$E$500,MID(P84,1,3)*1,UomConversion!$J$8:$J$500,1)))</f>
        <v/>
      </c>
      <c r="AA84" s="1230" t="str">
        <f t="shared" si="33"/>
        <v/>
      </c>
      <c r="AB84" s="1231" t="str">
        <f t="shared" si="34"/>
        <v/>
      </c>
      <c r="AC84" s="1232" t="str">
        <f t="shared" si="35"/>
        <v/>
      </c>
      <c r="AD84" s="1230" t="str">
        <f>IF(M84="","",VLOOKUP(I84,product_list,12,FALSE))</f>
        <v/>
      </c>
      <c r="AE84" s="1231" t="str">
        <f>IFERROR(IF(M84="","",IF(invoice_price_type_id=1,VLOOKUP(I84,product_list,13,FALSE),IF(invoice_price_type_id=2,VLOOKUP(I84,product_list,14,FALSE),IF(invoice_price_type_id=3,VLOOKUP(I84,product_list,15,FALSE),IF(invoice_price_type_id=4,VLOOKUP(I84,product_list,16,FALSE),IF(invoice_price_type_id=5,VLOOKUP(I84,product_list,12,FALSE),"")))))),"")</f>
        <v/>
      </c>
      <c r="AF84" s="1233" t="str">
        <f t="shared" si="36"/>
        <v/>
      </c>
      <c r="AG84" s="1230" t="str">
        <f>IF(I84="","",IF(ISNA(MATCH(I84,IF(invoice_location_id=1,'[1]1_inventory_totals'!$C$8:$C$10000,IF(invoice_location_id=2,'[1]2_inventory_totals'!$C$8:$C$10000,0)),0)),0,IF(AU84&gt;0,1,0)))</f>
        <v/>
      </c>
      <c r="AH84" s="1230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I84" s="1230" t="str">
        <f>IF(M84="","",IF(ISNA(MATCH(I84,'[1]1_group_totals'!$C$8:$C$10000)),0,IF(AV84&gt;0,1,0)))</f>
        <v/>
      </c>
      <c r="AJ84" s="1230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K84" s="1230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L84" s="1230" t="str">
        <f>IF(M84="","",SUMIFS('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M84" s="1230" t="str">
        <f>IF(M84="","",VLOOKUP(I84,product_list,11,FALSE))</f>
        <v/>
      </c>
      <c r="AN84" s="1230" t="str">
        <f>IF(OR(ISNA(MATCH(MID(AM84,1,3)*1,UomConversion!$D$8:$D$500,0)),M84=""),"",IF(AS84="","",AS84))</f>
        <v/>
      </c>
      <c r="AO84" s="1230" t="str">
        <f>IF(AND(AP84&gt;0,COUNTIFS(UomConversion!$D$8:$D$500,MID(AM84,1,3)*1,UomConversion!$J$8:$J$500,1)&gt;1),TEXT(AP84,"000")&amp;"."&amp;VLOOKUP(AP84,uom_list,4,FALSE),"")</f>
        <v/>
      </c>
      <c r="AP84" s="1230" t="str">
        <f t="shared" si="37"/>
        <v/>
      </c>
      <c r="AQ84" s="1230" t="str">
        <f t="shared" si="38"/>
        <v/>
      </c>
      <c r="AR84" s="204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S84" s="126" t="str">
        <f t="shared" si="39"/>
        <v/>
      </c>
      <c r="AT84" s="126" t="str" cm="1">
        <f t="array" ref="AT84">IF(M84="","",IF(ISNA(Slookup(MID(AM84,1,3)*1,UomConversion!$D$8:$J$500,2,UomConversion!$I$8:$I$500,1,UomConversion!$J$8:$J$500,1)),"",Slookup(MID(AM84,1,3)*1,UomConversion!$D$8:$J$500,2,UomConversion!$I$8:$I$500,1,UomConversion!$J$8:$J$500,1)))</f>
        <v/>
      </c>
      <c r="AU84" s="12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V84" s="143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W84" s="204" t="str">
        <f t="shared" si="40"/>
        <v/>
      </c>
      <c r="AX84" s="204" t="str">
        <f>IF(M84="","",SUMIFS($AW$8:AW84,$I$8:I84,I84))</f>
        <v/>
      </c>
      <c r="AY84" s="204" t="str">
        <f t="shared" si="41"/>
        <v/>
      </c>
    </row>
    <row r="85" spans="1:51" ht="27" customHeight="1">
      <c r="A85" s="765"/>
      <c r="B85" s="1358"/>
      <c r="C85" s="984"/>
      <c r="D85" s="984"/>
      <c r="E85" s="984"/>
      <c r="F85" s="1369"/>
      <c r="G85" s="213"/>
      <c r="H85" s="906"/>
      <c r="I85" s="426" t="str">
        <f t="shared" si="29"/>
        <v/>
      </c>
      <c r="J85" s="1327" t="str">
        <f t="shared" si="30"/>
        <v/>
      </c>
      <c r="K85" s="1320" t="str">
        <f t="shared" si="25"/>
        <v/>
      </c>
      <c r="L85" s="1321"/>
      <c r="M85" s="1311"/>
      <c r="N85" s="1322"/>
      <c r="O85" s="1322"/>
      <c r="P85" s="1311"/>
      <c r="Q85" s="1401"/>
      <c r="R85" s="1399"/>
      <c r="S85" s="1323" t="str">
        <f t="shared" si="26"/>
        <v/>
      </c>
      <c r="T85" s="1337"/>
      <c r="U85" s="1324" t="str">
        <f t="shared" si="31"/>
        <v/>
      </c>
      <c r="V85" s="1332" t="str">
        <f t="shared" si="27"/>
        <v/>
      </c>
      <c r="W85" s="1333"/>
      <c r="X85" s="1325" t="str">
        <f t="shared" si="28"/>
        <v/>
      </c>
      <c r="Y85" s="1326" t="str">
        <f t="shared" si="32"/>
        <v/>
      </c>
      <c r="Z85" s="1230" t="str" cm="1">
        <f t="array" ref="Z85">IF(M85="","",IF(P85=AM85,1,Slookup(MID(AM85,1,3)*1,UomConversion!$D$8:$J$500,5,UomConversion!$E$8:$E$500,MID(P85,1,3)*1,UomConversion!$J$8:$J$500,1)))</f>
        <v/>
      </c>
      <c r="AA85" s="1230" t="str">
        <f t="shared" si="33"/>
        <v/>
      </c>
      <c r="AB85" s="1231" t="str">
        <f t="shared" si="34"/>
        <v/>
      </c>
      <c r="AC85" s="1232" t="str">
        <f t="shared" si="35"/>
        <v/>
      </c>
      <c r="AD85" s="1230" t="str">
        <f>IF(M85="","",VLOOKUP(I85,product_list,12,FALSE))</f>
        <v/>
      </c>
      <c r="AE85" s="1231" t="str">
        <f>IFERROR(IF(M85="","",IF(invoice_price_type_id=1,VLOOKUP(I85,product_list,13,FALSE),IF(invoice_price_type_id=2,VLOOKUP(I85,product_list,14,FALSE),IF(invoice_price_type_id=3,VLOOKUP(I85,product_list,15,FALSE),IF(invoice_price_type_id=4,VLOOKUP(I85,product_list,16,FALSE),IF(invoice_price_type_id=5,VLOOKUP(I85,product_list,12,FALSE),"")))))),"")</f>
        <v/>
      </c>
      <c r="AF85" s="1233" t="str">
        <f t="shared" si="36"/>
        <v/>
      </c>
      <c r="AG85" s="1230" t="str">
        <f>IF(I85="","",IF(ISNA(MATCH(I85,IF(invoice_location_id=1,'[1]1_inventory_totals'!$C$8:$C$10000,IF(invoice_location_id=2,'[1]2_inventory_totals'!$C$8:$C$10000,0)),0)),0,IF(AU85&gt;0,1,0)))</f>
        <v/>
      </c>
      <c r="AH85" s="1230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I85" s="1230" t="str">
        <f>IF(M85="","",IF(ISNA(MATCH(I85,'[1]1_group_totals'!$C$8:$C$10000)),0,IF(AV85&gt;0,1,0)))</f>
        <v/>
      </c>
      <c r="AJ85" s="1230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K85" s="1230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L85" s="1230" t="str">
        <f>IF(M85="","",SUMIFS('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M85" s="1230" t="str">
        <f>IF(M85="","",VLOOKUP(I85,product_list,11,FALSE))</f>
        <v/>
      </c>
      <c r="AN85" s="1230" t="str">
        <f>IF(OR(ISNA(MATCH(MID(AM85,1,3)*1,UomConversion!$D$8:$D$500,0)),M85=""),"",IF(AS85="","",AS85))</f>
        <v/>
      </c>
      <c r="AO85" s="1230" t="str">
        <f>IF(AND(AP85&gt;0,COUNTIFS(UomConversion!$D$8:$D$500,MID(AM85,1,3)*1,UomConversion!$J$8:$J$500,1)&gt;1),TEXT(AP85,"000")&amp;"."&amp;VLOOKUP(AP85,uom_list,4,FALSE),"")</f>
        <v/>
      </c>
      <c r="AP85" s="1230" t="str">
        <f t="shared" si="37"/>
        <v/>
      </c>
      <c r="AQ85" s="1230" t="str">
        <f t="shared" si="38"/>
        <v/>
      </c>
      <c r="AR85" s="204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S85" s="126" t="str">
        <f t="shared" si="39"/>
        <v/>
      </c>
      <c r="AT85" s="126" t="str" cm="1">
        <f t="array" ref="AT85">IF(M85="","",IF(ISNA(Slookup(MID(AM85,1,3)*1,UomConversion!$D$8:$J$500,2,UomConversion!$I$8:$I$500,1,UomConversion!$J$8:$J$500,1)),"",Slookup(MID(AM85,1,3)*1,UomConversion!$D$8:$J$500,2,UomConversion!$I$8:$I$500,1,UomConversion!$J$8:$J$500,1)))</f>
        <v/>
      </c>
      <c r="AU85" s="12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V85" s="143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W85" s="204" t="str">
        <f t="shared" si="40"/>
        <v/>
      </c>
      <c r="AX85" s="204" t="str">
        <f>IF(M85="","",SUMIFS($AW$8:AW85,$I$8:I85,I85))</f>
        <v/>
      </c>
      <c r="AY85" s="204" t="str">
        <f t="shared" si="41"/>
        <v/>
      </c>
    </row>
    <row r="86" spans="1:51" ht="27" customHeight="1">
      <c r="A86" s="765"/>
      <c r="B86" s="1358"/>
      <c r="C86" s="984"/>
      <c r="D86" s="984"/>
      <c r="E86" s="984"/>
      <c r="F86" s="1369"/>
      <c r="G86" s="213"/>
      <c r="H86" s="906"/>
      <c r="I86" s="426" t="str">
        <f t="shared" si="29"/>
        <v/>
      </c>
      <c r="J86" s="1327" t="str">
        <f t="shared" si="30"/>
        <v/>
      </c>
      <c r="K86" s="1320" t="str">
        <f t="shared" si="25"/>
        <v/>
      </c>
      <c r="L86" s="1321"/>
      <c r="M86" s="1311"/>
      <c r="N86" s="1322"/>
      <c r="O86" s="1322"/>
      <c r="P86" s="1311"/>
      <c r="Q86" s="1401"/>
      <c r="R86" s="1399"/>
      <c r="S86" s="1323" t="str">
        <f t="shared" si="26"/>
        <v/>
      </c>
      <c r="T86" s="1337"/>
      <c r="U86" s="1324" t="str">
        <f t="shared" si="31"/>
        <v/>
      </c>
      <c r="V86" s="1332" t="str">
        <f t="shared" si="27"/>
        <v/>
      </c>
      <c r="W86" s="1333"/>
      <c r="X86" s="1325" t="str">
        <f t="shared" si="28"/>
        <v/>
      </c>
      <c r="Y86" s="1326" t="str">
        <f t="shared" si="32"/>
        <v/>
      </c>
      <c r="Z86" s="1230" t="str" cm="1">
        <f t="array" ref="Z86">IF(M86="","",IF(P86=AM86,1,Slookup(MID(AM86,1,3)*1,UomConversion!$D$8:$J$500,5,UomConversion!$E$8:$E$500,MID(P86,1,3)*1,UomConversion!$J$8:$J$500,1)))</f>
        <v/>
      </c>
      <c r="AA86" s="1230" t="str">
        <f t="shared" si="33"/>
        <v/>
      </c>
      <c r="AB86" s="1231" t="str">
        <f t="shared" si="34"/>
        <v/>
      </c>
      <c r="AC86" s="1232" t="str">
        <f t="shared" si="35"/>
        <v/>
      </c>
      <c r="AD86" s="1230" t="str">
        <f>IF(M86="","",VLOOKUP(I86,product_list,12,FALSE))</f>
        <v/>
      </c>
      <c r="AE86" s="1231" t="str">
        <f>IFERROR(IF(M86="","",IF(invoice_price_type_id=1,VLOOKUP(I86,product_list,13,FALSE),IF(invoice_price_type_id=2,VLOOKUP(I86,product_list,14,FALSE),IF(invoice_price_type_id=3,VLOOKUP(I86,product_list,15,FALSE),IF(invoice_price_type_id=4,VLOOKUP(I86,product_list,16,FALSE),IF(invoice_price_type_id=5,VLOOKUP(I86,product_list,12,FALSE),"")))))),"")</f>
        <v/>
      </c>
      <c r="AF86" s="1233" t="str">
        <f t="shared" si="36"/>
        <v/>
      </c>
      <c r="AG86" s="1230" t="str">
        <f>IF(I86="","",IF(ISNA(MATCH(I86,IF(invoice_location_id=1,'[1]1_inventory_totals'!$C$8:$C$10000,IF(invoice_location_id=2,'[1]2_inventory_totals'!$C$8:$C$10000,0)),0)),0,IF(AU86&gt;0,1,0)))</f>
        <v/>
      </c>
      <c r="AH86" s="1230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I86" s="1230" t="str">
        <f>IF(M86="","",IF(ISNA(MATCH(I86,'[1]1_group_totals'!$C$8:$C$10000)),0,IF(AV86&gt;0,1,0)))</f>
        <v/>
      </c>
      <c r="AJ86" s="1230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K86" s="1230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L86" s="1230" t="str">
        <f>IF(M86="","",SUMIFS('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M86" s="1230" t="str">
        <f>IF(M86="","",VLOOKUP(I86,product_list,11,FALSE))</f>
        <v/>
      </c>
      <c r="AN86" s="1230" t="str">
        <f>IF(OR(ISNA(MATCH(MID(AM86,1,3)*1,UomConversion!$D$8:$D$500,0)),M86=""),"",IF(AS86="","",AS86))</f>
        <v/>
      </c>
      <c r="AO86" s="1230" t="str">
        <f>IF(AND(AP86&gt;0,COUNTIFS(UomConversion!$D$8:$D$500,MID(AM86,1,3)*1,UomConversion!$J$8:$J$500,1)&gt;1),TEXT(AP86,"000")&amp;"."&amp;VLOOKUP(AP86,uom_list,4,FALSE),"")</f>
        <v/>
      </c>
      <c r="AP86" s="1230" t="str">
        <f t="shared" si="37"/>
        <v/>
      </c>
      <c r="AQ86" s="1230" t="str">
        <f t="shared" si="38"/>
        <v/>
      </c>
      <c r="AR86" s="204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S86" s="126" t="str">
        <f t="shared" si="39"/>
        <v/>
      </c>
      <c r="AT86" s="126" t="str" cm="1">
        <f t="array" ref="AT86">IF(M86="","",IF(ISNA(Slookup(MID(AM86,1,3)*1,UomConversion!$D$8:$J$500,2,UomConversion!$I$8:$I$500,1,UomConversion!$J$8:$J$500,1)),"",Slookup(MID(AM86,1,3)*1,UomConversion!$D$8:$J$500,2,UomConversion!$I$8:$I$500,1,UomConversion!$J$8:$J$500,1)))</f>
        <v/>
      </c>
      <c r="AU86" s="12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V86" s="143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W86" s="204" t="str">
        <f t="shared" si="40"/>
        <v/>
      </c>
      <c r="AX86" s="204" t="str">
        <f>IF(M86="","",SUMIFS($AW$8:AW86,$I$8:I86,I86))</f>
        <v/>
      </c>
      <c r="AY86" s="204" t="str">
        <f t="shared" si="41"/>
        <v/>
      </c>
    </row>
    <row r="87" spans="1:51" ht="27" customHeight="1">
      <c r="A87" s="765"/>
      <c r="B87" s="1358"/>
      <c r="C87" s="984"/>
      <c r="D87" s="984"/>
      <c r="E87" s="984"/>
      <c r="F87" s="1369"/>
      <c r="G87" s="213"/>
      <c r="I87" s="426" t="str">
        <f t="shared" si="29"/>
        <v/>
      </c>
      <c r="J87" s="1327" t="str">
        <f t="shared" si="30"/>
        <v/>
      </c>
      <c r="K87" s="1320" t="str">
        <f t="shared" si="25"/>
        <v/>
      </c>
      <c r="L87" s="1321"/>
      <c r="M87" s="1311"/>
      <c r="N87" s="1322"/>
      <c r="O87" s="1322"/>
      <c r="P87" s="1311"/>
      <c r="Q87" s="1401"/>
      <c r="R87" s="1399"/>
      <c r="S87" s="1323" t="str">
        <f t="shared" si="26"/>
        <v/>
      </c>
      <c r="T87" s="1337"/>
      <c r="U87" s="1324" t="str">
        <f t="shared" si="31"/>
        <v/>
      </c>
      <c r="V87" s="1332" t="str">
        <f t="shared" si="27"/>
        <v/>
      </c>
      <c r="W87" s="1333"/>
      <c r="X87" s="1325" t="str">
        <f t="shared" si="28"/>
        <v/>
      </c>
      <c r="Y87" s="1326" t="str">
        <f t="shared" si="32"/>
        <v/>
      </c>
      <c r="Z87" s="1230" t="str" cm="1">
        <f t="array" ref="Z87">IF(M87="","",IF(P87=AM87,1,Slookup(MID(AM87,1,3)*1,UomConversion!$D$8:$J$500,5,UomConversion!$E$8:$E$500,MID(P87,1,3)*1,UomConversion!$J$8:$J$500,1)))</f>
        <v/>
      </c>
      <c r="AA87" s="1230" t="str">
        <f t="shared" si="33"/>
        <v/>
      </c>
      <c r="AB87" s="1231" t="str">
        <f t="shared" si="34"/>
        <v/>
      </c>
      <c r="AC87" s="1232" t="str">
        <f t="shared" si="35"/>
        <v/>
      </c>
      <c r="AD87" s="1230" t="str">
        <f>IF(M87="","",VLOOKUP(I87,product_list,12,FALSE))</f>
        <v/>
      </c>
      <c r="AE87" s="1231" t="str">
        <f>IFERROR(IF(M87="","",IF(invoice_price_type_id=1,VLOOKUP(I87,product_list,13,FALSE),IF(invoice_price_type_id=2,VLOOKUP(I87,product_list,14,FALSE),IF(invoice_price_type_id=3,VLOOKUP(I87,product_list,15,FALSE),IF(invoice_price_type_id=4,VLOOKUP(I87,product_list,16,FALSE),IF(invoice_price_type_id=5,VLOOKUP(I87,product_list,12,FALSE),"")))))),"")</f>
        <v/>
      </c>
      <c r="AF87" s="1233" t="str">
        <f t="shared" si="36"/>
        <v/>
      </c>
      <c r="AG87" s="1230" t="str">
        <f>IF(I87="","",IF(ISNA(MATCH(I87,IF(invoice_location_id=1,'[1]1_inventory_totals'!$C$8:$C$10000,IF(invoice_location_id=2,'[1]2_inventory_totals'!$C$8:$C$10000,0)),0)),0,IF(AU87&gt;0,1,0)))</f>
        <v/>
      </c>
      <c r="AH87" s="1230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I87" s="1230" t="str">
        <f>IF(M87="","",IF(ISNA(MATCH(I87,'[1]1_group_totals'!$C$8:$C$10000)),0,IF(AV87&gt;0,1,0)))</f>
        <v/>
      </c>
      <c r="AJ87" s="1230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K87" s="1230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L87" s="1230" t="str">
        <f>IF(M87="","",SUMIFS('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M87" s="1230" t="str">
        <f>IF(M87="","",VLOOKUP(I87,product_list,11,FALSE))</f>
        <v/>
      </c>
      <c r="AN87" s="1230" t="str">
        <f>IF(OR(ISNA(MATCH(MID(AM87,1,3)*1,UomConversion!$D$8:$D$500,0)),M87=""),"",IF(AS87="","",AS87))</f>
        <v/>
      </c>
      <c r="AO87" s="1230" t="str">
        <f>IF(AND(AP87&gt;0,COUNTIFS(UomConversion!$D$8:$D$500,MID(AM87,1,3)*1,UomConversion!$J$8:$J$500,1)&gt;1),TEXT(AP87,"000")&amp;"."&amp;VLOOKUP(AP87,uom_list,4,FALSE),"")</f>
        <v/>
      </c>
      <c r="AP87" s="1230" t="str">
        <f t="shared" si="37"/>
        <v/>
      </c>
      <c r="AQ87" s="1230" t="str">
        <f t="shared" si="38"/>
        <v/>
      </c>
      <c r="AR87" s="204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S87" s="126" t="str">
        <f t="shared" si="39"/>
        <v/>
      </c>
      <c r="AT87" s="126" t="str" cm="1">
        <f t="array" ref="AT87">IF(M87="","",IF(ISNA(Slookup(MID(AM87,1,3)*1,UomConversion!$D$8:$J$500,2,UomConversion!$I$8:$I$500,1,UomConversion!$J$8:$J$500,1)),"",Slookup(MID(AM87,1,3)*1,UomConversion!$D$8:$J$500,2,UomConversion!$I$8:$I$500,1,UomConversion!$J$8:$J$500,1)))</f>
        <v/>
      </c>
      <c r="AU87" s="12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V87" s="143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W87" s="204" t="str">
        <f t="shared" si="40"/>
        <v/>
      </c>
      <c r="AX87" s="204" t="str">
        <f>IF(M87="","",SUMIFS($AW$8:AW87,$I$8:I87,I87))</f>
        <v/>
      </c>
      <c r="AY87" s="204" t="str">
        <f t="shared" si="41"/>
        <v/>
      </c>
    </row>
    <row r="88" spans="1:51" ht="27" customHeight="1" thickBot="1">
      <c r="A88" s="765"/>
      <c r="B88" s="1358"/>
      <c r="C88" s="984"/>
      <c r="D88" s="984"/>
      <c r="E88" s="984"/>
      <c r="F88" s="1369"/>
      <c r="G88" s="213"/>
      <c r="I88" s="1315"/>
      <c r="J88" s="817"/>
      <c r="K88" s="265"/>
      <c r="L88" s="128"/>
      <c r="M88" s="1342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27"/>
      <c r="O88" s="1343" t="s">
        <v>1840</v>
      </c>
      <c r="P88" s="1343" t="s">
        <v>1841</v>
      </c>
      <c r="Q88" s="1402"/>
      <c r="R88" s="1343"/>
      <c r="S88" s="1063"/>
      <c r="T88" s="1063"/>
      <c r="U88" s="1052"/>
      <c r="V88" s="1060"/>
      <c r="W88" s="1067" t="s">
        <v>1842</v>
      </c>
      <c r="X88" s="1066" t="str">
        <f>invoice_currency_symbol</f>
        <v>$</v>
      </c>
      <c r="Y88" s="1047">
        <f>SUM(Y8:Y87)</f>
        <v>200</v>
      </c>
      <c r="AB88" s="1119">
        <f>SUM(AB8:AB87)</f>
        <v>0</v>
      </c>
      <c r="AC88" s="311" t="str">
        <f>invoice_currency_symbol</f>
        <v>$</v>
      </c>
      <c r="AF88" s="825"/>
    </row>
    <row r="89" spans="1:51" ht="27" customHeight="1" thickBot="1">
      <c r="A89" s="765"/>
      <c r="B89" s="1358"/>
      <c r="C89" s="923"/>
      <c r="D89" s="923"/>
      <c r="E89" s="923"/>
      <c r="F89" s="1369"/>
      <c r="G89" s="213"/>
      <c r="J89" s="771"/>
      <c r="M89" s="966" t="s">
        <v>64</v>
      </c>
      <c r="N89" s="756">
        <f>MID(invoice_discount_option,1,1)*1</f>
        <v>1</v>
      </c>
      <c r="O89" s="964"/>
      <c r="P89" s="965"/>
      <c r="Q89" s="1096"/>
      <c r="R89" s="1096"/>
      <c r="U89" s="1053">
        <f>IFERROR(IF(invoice_discount_option="",0,IF(invoice_discount_id*1=1,N(invoice_discount_amount),IF(invoice_discount_id*1=2,(invoice_sub_total_amount*invoice_discount_percent)/100,0))),0)</f>
        <v>0</v>
      </c>
      <c r="V89" s="1055" t="str">
        <f>invoice_currency_symbol</f>
        <v>$</v>
      </c>
      <c r="W89" s="1067" t="s">
        <v>1843</v>
      </c>
      <c r="X89" s="1066" t="str">
        <f>invoice_currency_symbol</f>
        <v>$</v>
      </c>
      <c r="Y89" s="1047">
        <f>IFERROR(IF(invoice_discount_option="",0,IF(invoice_discount_id=1,N(invoice_discount_amount),IF(invoice_discount_id=2,(invoice_sub_total_amount*invoice_discount_percent)/100,0))),0)</f>
        <v>0</v>
      </c>
      <c r="AB89" s="143" t="s">
        <v>1779</v>
      </c>
      <c r="AC89" s="1075">
        <v>0</v>
      </c>
    </row>
    <row r="90" spans="1:51" ht="27" customHeight="1">
      <c r="B90" s="1358"/>
      <c r="C90" s="946"/>
      <c r="D90" s="946"/>
      <c r="E90" s="946"/>
      <c r="F90" s="1369"/>
      <c r="G90" s="213"/>
      <c r="J90" s="830"/>
      <c r="K90" s="265"/>
      <c r="L90" s="128"/>
      <c r="M90" s="831"/>
      <c r="N90" s="832"/>
      <c r="S90" s="1064">
        <f>VLOOKUP(1,company_list,6,FALSE)</f>
        <v>2</v>
      </c>
      <c r="T90" s="1064"/>
      <c r="U90" s="1341" t="s">
        <v>2571</v>
      </c>
      <c r="V90" s="1061">
        <f>IF(U90="","",VLOOKUP(MID(U90,1,2)*1,vat_list,3,FALSE))</f>
        <v>0</v>
      </c>
      <c r="W90" s="1067" t="s">
        <v>1844</v>
      </c>
      <c r="X90" s="1066" t="str">
        <f>invoice_currency_symbol</f>
        <v>$</v>
      </c>
      <c r="Y90" s="1047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AB90" s="692" t="s">
        <v>2269</v>
      </c>
      <c r="AC90" s="535">
        <v>0</v>
      </c>
    </row>
    <row r="91" spans="1:51" ht="27" customHeight="1">
      <c r="B91" s="1370"/>
      <c r="C91" s="1371"/>
      <c r="D91" s="1372"/>
      <c r="E91" s="1373"/>
      <c r="F91" s="1374"/>
      <c r="J91" s="771"/>
      <c r="K91" s="1019"/>
      <c r="L91" s="1019"/>
      <c r="P91" s="127"/>
      <c r="Q91" s="128"/>
      <c r="R91" s="135"/>
      <c r="U91" s="1344">
        <v>17</v>
      </c>
      <c r="W91" s="1067" t="s">
        <v>2348</v>
      </c>
      <c r="X91" s="1066" t="str">
        <f>invoice_currency_symbol</f>
        <v>$</v>
      </c>
      <c r="Y91" s="1047">
        <f>AC90</f>
        <v>0</v>
      </c>
    </row>
    <row r="92" spans="1:51" ht="24.95" customHeight="1">
      <c r="J92" s="593"/>
      <c r="K92" s="593"/>
      <c r="L92" s="593"/>
      <c r="M92" s="689"/>
      <c r="N92" s="689"/>
      <c r="P92" s="426" t="s">
        <v>283</v>
      </c>
      <c r="Q92" s="426"/>
      <c r="R92" s="426"/>
      <c r="W92" s="1067" t="s">
        <v>1845</v>
      </c>
      <c r="X92" s="1066" t="str">
        <f>invoice_currency_symbol</f>
        <v>$</v>
      </c>
      <c r="Y92" s="1047">
        <f>invoice_sub_total_amount-invoice_discount-invoice_deposit+invoice_total_vat</f>
        <v>200</v>
      </c>
    </row>
    <row r="93" spans="1:51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5">
    <mergeCell ref="L4:M4"/>
    <mergeCell ref="C11:D11"/>
    <mergeCell ref="C22:E24"/>
    <mergeCell ref="AX6:AX7"/>
    <mergeCell ref="AY6:AY7"/>
  </mergeCells>
  <phoneticPr fontId="37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:R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N8:O87 U4:V4 R4 W8:W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AU4" xr:uid="{EE25860A-7A28-476C-B20A-4D9BE05E6991}">
      <formula1>$AU$2</formula1>
    </dataValidation>
    <dataValidation type="list" allowBlank="1" showInputMessage="1" showErrorMessage="1" sqref="P8:P87" xr:uid="{DCF77416-7036-4970-99A6-0216F847EB21}">
      <formula1>uom_option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0179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257175</xdr:colOff>
                    <xdr:row>1</xdr:row>
                    <xdr:rowOff>466725</xdr:rowOff>
                  </from>
                  <to>
                    <xdr:col>2</xdr:col>
                    <xdr:colOff>1019175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00" r:id="rId5" name="Button 8">
              <controlPr defaultSize="0" print="0" autoFill="0" autoPict="0" macro="[0]!btnAddCustomer">
                <anchor moveWithCells="1" sizeWithCells="1">
                  <from>
                    <xdr:col>5</xdr:col>
                    <xdr:colOff>85725</xdr:colOff>
                    <xdr:row>9</xdr:row>
                    <xdr:rowOff>381000</xdr:rowOff>
                  </from>
                  <to>
                    <xdr:col>5</xdr:col>
                    <xdr:colOff>466725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07" r:id="rId6" name="Button 15">
              <controlPr defaultSize="0" print="0" autoFill="0" autoPict="0" macro="[0]!goToCustomerList">
                <anchor moveWithCells="1" sizeWithCells="1">
                  <from>
                    <xdr:col>4</xdr:col>
                    <xdr:colOff>790575</xdr:colOff>
                    <xdr:row>9</xdr:row>
                    <xdr:rowOff>371475</xdr:rowOff>
                  </from>
                  <to>
                    <xdr:col>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15" r:id="rId7" name="Button 23">
              <controlPr defaultSize="0" print="0" autoFill="0" autoPict="0" macro="[0]!addSellerSale">
                <anchor moveWithCells="1" sizeWithCells="1">
                  <from>
                    <xdr:col>3</xdr:col>
                    <xdr:colOff>85725</xdr:colOff>
                    <xdr:row>13</xdr:row>
                    <xdr:rowOff>342900</xdr:rowOff>
                  </from>
                  <to>
                    <xdr:col>3</xdr:col>
                    <xdr:colOff>457200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17" r:id="rId8" name="Button 25">
              <controlPr defaultSize="0" print="0" autoFill="0" autoPict="0" macro="[0]!goChartAccountDefault">
                <anchor moveWithCells="1" sizeWithCells="1">
                  <from>
                    <xdr:col>2</xdr:col>
                    <xdr:colOff>838200</xdr:colOff>
                    <xdr:row>17</xdr:row>
                    <xdr:rowOff>323850</xdr:rowOff>
                  </from>
                  <to>
                    <xdr:col>3</xdr:col>
                    <xdr:colOff>9525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27" r:id="rId9" name="Button 35">
              <controlPr defaultSize="0" autoFill="0" autoPict="0" macro="[0]!SaveSaleInvoice">
                <anchor moveWithCells="1">
                  <from>
                    <xdr:col>20</xdr:col>
                    <xdr:colOff>561975</xdr:colOff>
                    <xdr:row>2</xdr:row>
                    <xdr:rowOff>28575</xdr:rowOff>
                  </from>
                  <to>
                    <xdr:col>22</xdr:col>
                    <xdr:colOff>1133475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30" r:id="rId10" name="Button 38">
              <controlPr defaultSize="0" print="0" autoFill="0" autoPict="0" macro="[0]!getExchangeRateNBC">
                <anchor moveWithCells="1" sizeWithCells="1">
                  <from>
                    <xdr:col>18</xdr:col>
                    <xdr:colOff>85725</xdr:colOff>
                    <xdr:row>3</xdr:row>
                    <xdr:rowOff>9525</xdr:rowOff>
                  </from>
                  <to>
                    <xdr:col>20</xdr:col>
                    <xdr:colOff>352425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5761-26AD-4475-9D61-6DAA0F12EB63}">
  <sheetPr codeName="Sheet32"/>
  <dimension ref="A1:BK208"/>
  <sheetViews>
    <sheetView showGridLines="0" zoomScale="80" zoomScaleNormal="80" zoomScaleSheetLayoutView="80" workbookViewId="0">
      <pane ySplit="7" topLeftCell="A8" activePane="bottomLeft" state="frozen"/>
      <selection activeCell="D1" sqref="D1"/>
      <selection pane="bottomLeft" activeCell="T20" sqref="T20"/>
    </sheetView>
  </sheetViews>
  <sheetFormatPr defaultRowHeight="24.95" customHeight="1"/>
  <cols>
    <col min="1" max="1" width="1.5703125" style="408" customWidth="1"/>
    <col min="2" max="2" width="4" style="408" customWidth="1"/>
    <col min="3" max="3" width="32" style="408" customWidth="1"/>
    <col min="4" max="4" width="8.7109375" style="408" customWidth="1"/>
    <col min="5" max="5" width="31.42578125" style="408" customWidth="1"/>
    <col min="6" max="6" width="9.42578125" style="408" customWidth="1"/>
    <col min="7" max="7" width="3" style="216" hidden="1" customWidth="1"/>
    <col min="8" max="8" width="9.28515625" style="216" hidden="1" customWidth="1"/>
    <col min="9" max="9" width="7.28515625" style="901" customWidth="1"/>
    <col min="10" max="11" width="6.28515625" style="143" customWidth="1"/>
    <col min="12" max="12" width="17.28515625" style="755" customWidth="1"/>
    <col min="13" max="13" width="51.140625" style="331" customWidth="1"/>
    <col min="14" max="14" width="15.5703125" style="756" bestFit="1" customWidth="1"/>
    <col min="15" max="15" width="15" style="143" customWidth="1"/>
    <col min="16" max="16" width="20.28515625" style="143" customWidth="1"/>
    <col min="17" max="17" width="3" style="143" customWidth="1"/>
    <col min="18" max="18" width="13" style="757" customWidth="1"/>
    <col min="19" max="19" width="6.28515625" style="757" customWidth="1"/>
    <col min="20" max="20" width="18.7109375" style="408" customWidth="1"/>
    <col min="21" max="21" width="2.85546875" style="408" customWidth="1"/>
    <col min="22" max="22" width="20.7109375" style="408" customWidth="1"/>
    <col min="23" max="23" width="14.5703125" style="408" customWidth="1"/>
    <col min="24" max="24" width="18.140625" style="408" customWidth="1"/>
    <col min="25" max="25" width="13.42578125" style="143" customWidth="1"/>
    <col min="26" max="26" width="16.140625" style="408" customWidth="1"/>
    <col min="27" max="28" width="10.85546875" style="408" customWidth="1"/>
    <col min="29" max="29" width="9.42578125" style="408" customWidth="1"/>
    <col min="30" max="30" width="12.7109375" style="408" customWidth="1"/>
    <col min="31" max="31" width="5.85546875" style="408" customWidth="1"/>
    <col min="32" max="32" width="7.140625" style="408" customWidth="1"/>
    <col min="33" max="33" width="1.42578125" style="408" customWidth="1"/>
    <col min="34" max="34" width="9.85546875" style="408" customWidth="1"/>
    <col min="35" max="35" width="21" style="408" customWidth="1"/>
    <col min="36" max="36" width="7.7109375" style="408" customWidth="1"/>
    <col min="37" max="37" width="6.7109375" style="408" customWidth="1"/>
    <col min="38" max="38" width="6.140625" style="408" bestFit="1" customWidth="1"/>
    <col min="39" max="39" width="9.140625" style="408" customWidth="1"/>
    <col min="40" max="40" width="2.7109375" style="691" customWidth="1"/>
    <col min="41" max="41" width="9.7109375" style="408" customWidth="1"/>
    <col min="42" max="42" width="2.7109375" style="691" customWidth="1"/>
    <col min="43" max="43" width="11.85546875" style="408" customWidth="1"/>
    <col min="44" max="44" width="2.7109375" style="691" customWidth="1"/>
    <col min="45" max="45" width="16" style="408" customWidth="1"/>
    <col min="46" max="46" width="2.85546875" style="408" customWidth="1"/>
    <col min="47" max="47" width="5.140625" style="408" customWidth="1"/>
    <col min="48" max="48" width="1.85546875" style="408" customWidth="1"/>
    <col min="49" max="49" width="5.85546875" style="408" customWidth="1"/>
    <col min="50" max="50" width="7.140625" style="408" customWidth="1"/>
    <col min="51" max="51" width="1.42578125" style="408" customWidth="1"/>
    <col min="52" max="52" width="9.85546875" style="408" customWidth="1"/>
    <col min="53" max="53" width="21" style="408" customWidth="1"/>
    <col min="54" max="54" width="7.7109375" style="408" customWidth="1"/>
    <col min="55" max="56" width="6.7109375" style="408" customWidth="1"/>
    <col min="57" max="57" width="9.28515625" style="408" customWidth="1"/>
    <col min="58" max="58" width="2.7109375" style="691" customWidth="1"/>
    <col min="59" max="59" width="9.7109375" style="408" customWidth="1"/>
    <col min="60" max="60" width="2.7109375" style="691" customWidth="1"/>
    <col min="61" max="61" width="11.85546875" style="408" customWidth="1"/>
    <col min="62" max="62" width="2.7109375" style="691" customWidth="1"/>
    <col min="63" max="63" width="16" style="408" customWidth="1"/>
    <col min="64" max="64" width="1.7109375" style="408" customWidth="1"/>
    <col min="65" max="65" width="9.140625" style="408" customWidth="1"/>
    <col min="66" max="16384" width="9.140625" style="408"/>
  </cols>
  <sheetData>
    <row r="1" spans="1:62" ht="8.25" customHeight="1">
      <c r="B1" s="752"/>
      <c r="C1" s="753"/>
      <c r="D1" s="753"/>
      <c r="E1" s="753"/>
      <c r="F1" s="754"/>
    </row>
    <row r="2" spans="1:62" ht="36.75">
      <c r="B2" s="758"/>
      <c r="C2" s="759"/>
      <c r="D2" s="759"/>
      <c r="E2" s="759"/>
      <c r="F2" s="760"/>
      <c r="G2" s="902"/>
      <c r="H2" s="902"/>
      <c r="I2" s="902"/>
      <c r="J2" s="761" t="s">
        <v>1795</v>
      </c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</row>
    <row r="3" spans="1:62" ht="8.25" customHeight="1">
      <c r="B3" s="762"/>
      <c r="C3" s="763"/>
      <c r="D3" s="763"/>
      <c r="E3" s="763"/>
      <c r="F3" s="764"/>
      <c r="G3" s="903"/>
      <c r="H3" s="903"/>
      <c r="I3" s="903"/>
      <c r="J3" s="763"/>
      <c r="K3" s="763"/>
      <c r="L3" s="763"/>
      <c r="M3" s="763"/>
      <c r="N3" s="763"/>
      <c r="O3" s="763"/>
      <c r="P3" s="763"/>
      <c r="Q3" s="763"/>
      <c r="R3" s="763"/>
      <c r="S3" s="763"/>
      <c r="T3" s="763"/>
      <c r="U3" s="763"/>
      <c r="V3" s="763"/>
    </row>
    <row r="4" spans="1:62" ht="27.75" customHeight="1">
      <c r="A4" s="765"/>
      <c r="B4" s="766"/>
      <c r="F4" s="767"/>
      <c r="J4" s="1657" t="s">
        <v>855</v>
      </c>
      <c r="K4" s="1658"/>
      <c r="L4" s="1659"/>
      <c r="M4" s="768"/>
      <c r="N4" s="327" t="s">
        <v>889</v>
      </c>
      <c r="O4" s="1660" t="s">
        <v>23</v>
      </c>
      <c r="P4" s="1661"/>
      <c r="Q4" s="311"/>
      <c r="R4" s="769" t="str">
        <f>IF(quote_price_type="","",MID(quote_price_type,1,2))</f>
        <v>01</v>
      </c>
      <c r="S4" s="769"/>
    </row>
    <row r="5" spans="1:62" s="143" customFormat="1" ht="9" customHeight="1">
      <c r="A5" s="770"/>
      <c r="B5" s="771"/>
      <c r="C5" s="772"/>
      <c r="D5" s="772"/>
      <c r="E5" s="772"/>
      <c r="F5" s="773"/>
      <c r="G5" s="901"/>
      <c r="H5" s="901"/>
      <c r="I5" s="901"/>
      <c r="L5" s="755"/>
      <c r="M5" s="331"/>
      <c r="N5" s="756"/>
      <c r="R5" s="774"/>
      <c r="S5" s="774"/>
      <c r="AN5" s="692"/>
      <c r="AP5" s="692"/>
      <c r="AR5" s="692"/>
      <c r="BF5" s="692"/>
      <c r="BH5" s="692"/>
      <c r="BJ5" s="692"/>
    </row>
    <row r="6" spans="1:62" s="126" customFormat="1" ht="28.5" customHeight="1">
      <c r="A6" s="775"/>
      <c r="B6" s="776"/>
      <c r="C6" s="348" t="str">
        <f>IF(C7=0, "Didn't Approve","Approveed")</f>
        <v>Approveed</v>
      </c>
      <c r="D6" s="348" t="str">
        <f>IF(D7=0, "Open","Closed")</f>
        <v>Closed</v>
      </c>
      <c r="E6" s="348" t="str">
        <f>IF(E7=0, "Inactive","Active")</f>
        <v>Active</v>
      </c>
      <c r="F6" s="777"/>
      <c r="G6" s="904"/>
      <c r="H6" s="904"/>
      <c r="I6" s="904"/>
      <c r="J6" s="778" t="s">
        <v>59</v>
      </c>
      <c r="K6" s="1664" t="s">
        <v>851</v>
      </c>
      <c r="L6" s="1665"/>
      <c r="M6" s="778" t="s">
        <v>126</v>
      </c>
      <c r="N6" s="778" t="s">
        <v>180</v>
      </c>
      <c r="O6" s="778" t="s">
        <v>852</v>
      </c>
      <c r="P6" s="778" t="s">
        <v>75</v>
      </c>
      <c r="Q6" s="1664" t="str">
        <f>"តម្លៃឯកតា"&amp;IF(quote_branch="",""," ("&amp;quote_currency_symbol&amp;")")</f>
        <v>តម្លៃឯកតា ($)</v>
      </c>
      <c r="R6" s="1665"/>
      <c r="S6" s="1664" t="str">
        <f>"បញ្ចុះតម្លៃ"&amp;IF(quote_branch="",""," ("&amp;quote_currency_symbol&amp;")")</f>
        <v>បញ្ចុះតម្លៃ ($)</v>
      </c>
      <c r="T6" s="1665"/>
      <c r="U6" s="1664" t="str">
        <f>"សរុបតម្លៃ"&amp;IF(quote_branch="",""," ("&amp;quote_currency_symbol&amp;")")</f>
        <v>សរុបតម្លៃ ($)</v>
      </c>
      <c r="V6" s="1665"/>
      <c r="W6" s="126" t="s">
        <v>403</v>
      </c>
      <c r="X6" s="126" t="str">
        <f>"Dis Price"</f>
        <v>Dis Price</v>
      </c>
      <c r="Y6" s="126" t="str">
        <f>"Unit Cost"</f>
        <v>Unit Cost</v>
      </c>
      <c r="Z6" s="126" t="s">
        <v>112</v>
      </c>
      <c r="AN6" s="185"/>
      <c r="AP6" s="185"/>
      <c r="AR6" s="185"/>
      <c r="BF6" s="185"/>
      <c r="BH6" s="185"/>
      <c r="BJ6" s="185"/>
    </row>
    <row r="7" spans="1:62" ht="19.5" customHeight="1">
      <c r="A7" s="765"/>
      <c r="B7" s="779"/>
      <c r="C7" s="780">
        <f>IF(OR(quote_no="",ISNA(VLOOKUP(quote_no*1,quote_list,29,FALSE))),1,VLOOKUP(quote_no*1,quote_list,28,FALSE))</f>
        <v>1</v>
      </c>
      <c r="D7" s="780">
        <f>IF(OR(quote_no="",ISNA(VLOOKUP(quote_no*1,quote_list,29,FALSE))),1,VLOOKUP(quote_no*1,quote_list,27,FALSE))</f>
        <v>1</v>
      </c>
      <c r="E7" s="780">
        <f>IF(OR(quote_no="",ISNA(VLOOKUP(quote_no*1,quote_list,29,FALSE))),1,VLOOKUP(quote_no*1,quote_list,29,FALSE))</f>
        <v>1</v>
      </c>
      <c r="F7" s="781"/>
      <c r="G7" s="213"/>
      <c r="J7" s="782" t="s">
        <v>10</v>
      </c>
      <c r="K7" s="1662" t="s">
        <v>132</v>
      </c>
      <c r="L7" s="1663"/>
      <c r="M7" s="782" t="s">
        <v>122</v>
      </c>
      <c r="N7" s="782" t="s">
        <v>93</v>
      </c>
      <c r="O7" s="782" t="s">
        <v>836</v>
      </c>
      <c r="P7" s="782" t="s">
        <v>1816</v>
      </c>
      <c r="Q7" s="1662" t="s">
        <v>38</v>
      </c>
      <c r="R7" s="1663"/>
      <c r="S7" s="1662" t="s">
        <v>113</v>
      </c>
      <c r="T7" s="1663"/>
      <c r="U7" s="1662" t="s">
        <v>112</v>
      </c>
      <c r="V7" s="1663"/>
      <c r="X7" s="472" t="str">
        <f>IF(quote_branch="",""," ("&amp;quote_currency_symbol&amp;") ")</f>
        <v xml:space="preserve"> ($) </v>
      </c>
      <c r="Y7" s="472" t="str">
        <f>IF(quote_branch="",""," ("&amp;quote_currency_symbol&amp;") ")</f>
        <v xml:space="preserve"> ($) </v>
      </c>
      <c r="Z7" s="254" t="s">
        <v>1847</v>
      </c>
    </row>
    <row r="8" spans="1:62" ht="27" customHeight="1" thickBot="1">
      <c r="A8" s="765"/>
      <c r="B8" s="783"/>
      <c r="C8" s="784" t="s">
        <v>1941</v>
      </c>
      <c r="D8" s="784"/>
      <c r="E8" s="785" t="s">
        <v>1827</v>
      </c>
      <c r="F8" s="786"/>
      <c r="G8" s="905"/>
      <c r="H8" s="905"/>
      <c r="I8" s="901">
        <f>IF(M8="","",MID(M8,1,5)*1)</f>
        <v>1</v>
      </c>
      <c r="J8" s="787">
        <f>IF(M8="","",1)</f>
        <v>1</v>
      </c>
      <c r="K8" s="788" t="str">
        <f t="shared" ref="K8:K39" si="0">IF(M8="","",VLOOKUP(I8,product_list,2,FALSE))</f>
        <v>KS01</v>
      </c>
      <c r="L8" s="277"/>
      <c r="M8" s="486" t="s">
        <v>1932</v>
      </c>
      <c r="N8" s="637">
        <v>2</v>
      </c>
      <c r="O8" s="637">
        <v>1</v>
      </c>
      <c r="P8" s="1099" t="str">
        <f t="shared" ref="P8:P39" si="1">IF(M8="","",VLOOKUP(I8,product_list,11,FALSE))</f>
        <v>014.Case/6boxs</v>
      </c>
      <c r="Q8" s="789" t="str">
        <f t="shared" ref="Q8:Q39" si="2">IF(M8="","",quote_currency_symbol)</f>
        <v>$</v>
      </c>
      <c r="R8" s="790">
        <f>IFERROR(IF(M8="","",IF(quote_price_type_id="01",VLOOKUP(I8,product_list,13,FALSE),IF(quote_price_type_id="02",VLOOKUP(I8,product_list,14,FALSE),IF(quote_price_type_id="03",VLOOKUP(I8,product_list,15,FALSE),IF(quote_price_type_id="04",VLOOKUP(I8,product_list,16,FALSE),IF(quote_price_type_id="05",VLOOKUP(I8,product_list,12,FALSE),"")))))),"")</f>
        <v>20</v>
      </c>
      <c r="S8" s="790" t="str">
        <f t="shared" ref="S8:S39" si="3">IF(T8=0,"",quote_currency_symbol)</f>
        <v/>
      </c>
      <c r="T8" s="791"/>
      <c r="U8" s="790" t="str">
        <f t="shared" ref="U8:U39" si="4">IF(M8="","",quote_currency_symbol)</f>
        <v>$</v>
      </c>
      <c r="V8" s="792">
        <f>IF(OR(M8="",R8=""),"",(N8)*R8-T8)</f>
        <v>40</v>
      </c>
      <c r="W8" s="793">
        <f t="shared" ref="W8:W23" si="5">IF(AND(M8="",ISNA(VLOOKUP(MID(M8,1,5),product_list,20,FALSE))),"",VLOOKUP(MID(M8,1,5)*1,product_list,20,FALSE))</f>
        <v>1</v>
      </c>
      <c r="X8" s="794">
        <f>IF(M8="","",IF(O8*R8&gt;0,O8*R8,0)+T8)</f>
        <v>20</v>
      </c>
      <c r="Y8" s="794">
        <f t="shared" ref="Y8:Y23" si="6">IF(M8="","",VLOOKUP(I8,product_list,12,FALSE))</f>
        <v>18</v>
      </c>
      <c r="Z8" s="907">
        <f>IF(OR(M8="",R8=""),"",(N8+O8)*R8)</f>
        <v>60</v>
      </c>
      <c r="AA8" s="259"/>
    </row>
    <row r="9" spans="1:62" ht="27" customHeight="1" thickBot="1">
      <c r="A9" s="765"/>
      <c r="B9" s="795"/>
      <c r="C9" s="796">
        <v>46178</v>
      </c>
      <c r="D9" s="204">
        <f>IFERROR(IF(quote_date="","",IF(AND(DAY(quote_date)&gt;0,DAY(quote_date)&lt;8),1,IF(AND(DAY(quote_date)&gt;7,DAY(quote_date)&lt;15),2,IF(AND(DAY(quote_date)&gt;14,DAY(quote_date)&lt;22),3,IF(AND(DAY(quote_date)&gt;21,DAY(quote_date)&lt;32),4,""))))),"")</f>
        <v>1</v>
      </c>
      <c r="E9" s="797" t="str">
        <f>RIGHT(YEAR(C9),2)&amp;"Q"&amp;TEXT(quote_no,"000000")</f>
        <v>26Q000012</v>
      </c>
      <c r="F9" s="798">
        <v>12</v>
      </c>
      <c r="G9" s="213"/>
      <c r="I9" s="901">
        <f t="shared" ref="I9:I72" si="7">IF(M9="","",MID(M9,1,5)*1)</f>
        <v>2</v>
      </c>
      <c r="J9" s="787">
        <f>IF(M9="","",J8+1)</f>
        <v>2</v>
      </c>
      <c r="K9" s="788" t="str">
        <f t="shared" si="0"/>
        <v>KS02</v>
      </c>
      <c r="L9" s="277"/>
      <c r="M9" s="486" t="s">
        <v>1930</v>
      </c>
      <c r="N9" s="733">
        <v>4</v>
      </c>
      <c r="O9" s="733"/>
      <c r="P9" s="1099" t="str">
        <f t="shared" si="1"/>
        <v>013.Case/12boxs</v>
      </c>
      <c r="Q9" s="789" t="str">
        <f t="shared" si="2"/>
        <v>$</v>
      </c>
      <c r="R9" s="790">
        <f t="shared" ref="R9:R23" si="8">IFERROR(IF(M9="","",IF(quote_price_type_id="01",VLOOKUP(I9,product_list,13,FALSE),IF(quote_price_type_id="02",VLOOKUP(I9,product_list,14,FALSE),IF(quote_price_type_id="03",VLOOKUP(I9,product_list,15,FALSE),IF(quote_price_type_id="04",VLOOKUP(I9,product_list,16,FALSE),IF(quote_price_type_id="05",VLOOKUP(I9,product_list,12,FALSE),"")))))),"")</f>
        <v>60</v>
      </c>
      <c r="S9" s="799" t="str">
        <f t="shared" si="3"/>
        <v/>
      </c>
      <c r="T9" s="791"/>
      <c r="U9" s="799" t="str">
        <f t="shared" si="4"/>
        <v>$</v>
      </c>
      <c r="V9" s="792">
        <f t="shared" ref="V9:V72" si="9">IF(OR(M9="",R9=""),"",(N9)*R9-T9)</f>
        <v>240</v>
      </c>
      <c r="W9" s="793">
        <f t="shared" si="5"/>
        <v>1</v>
      </c>
      <c r="X9" s="794">
        <f t="shared" ref="X9:X72" si="10">IF(M9="","",IF(O9*R9&gt;0,O9*R9,0)+T9)</f>
        <v>0</v>
      </c>
      <c r="Y9" s="794">
        <f t="shared" si="6"/>
        <v>40</v>
      </c>
      <c r="Z9" s="907">
        <f t="shared" ref="Z9:Z72" si="11">IF(OR(M9="",R9=""),"",(N9+O9)*R9)</f>
        <v>240</v>
      </c>
      <c r="AA9" s="259"/>
    </row>
    <row r="10" spans="1:62" ht="27" customHeight="1" thickBot="1">
      <c r="A10" s="765"/>
      <c r="B10" s="795"/>
      <c r="C10" s="800" t="s">
        <v>1828</v>
      </c>
      <c r="D10" s="801"/>
      <c r="E10" s="458" t="str">
        <f>IF(ISNA(MATCH(quote_no*1,QuoteData!C8:C5000,0)),"not exist","exist")</f>
        <v>not exist</v>
      </c>
      <c r="F10" s="802"/>
      <c r="I10" s="901">
        <f t="shared" si="7"/>
        <v>1</v>
      </c>
      <c r="J10" s="787">
        <f t="shared" ref="J10:J23" si="12">IF(M10="","",J9+1)</f>
        <v>3</v>
      </c>
      <c r="K10" s="788" t="str">
        <f t="shared" si="0"/>
        <v>KS01</v>
      </c>
      <c r="L10" s="277"/>
      <c r="M10" s="486" t="s">
        <v>1932</v>
      </c>
      <c r="N10" s="733">
        <v>5</v>
      </c>
      <c r="O10" s="733"/>
      <c r="P10" s="1099" t="str">
        <f t="shared" si="1"/>
        <v>014.Case/6boxs</v>
      </c>
      <c r="Q10" s="789" t="str">
        <f t="shared" si="2"/>
        <v>$</v>
      </c>
      <c r="R10" s="790">
        <f t="shared" si="8"/>
        <v>20</v>
      </c>
      <c r="S10" s="799" t="str">
        <f t="shared" si="3"/>
        <v/>
      </c>
      <c r="T10" s="791"/>
      <c r="U10" s="799" t="str">
        <f t="shared" si="4"/>
        <v>$</v>
      </c>
      <c r="V10" s="792">
        <f t="shared" si="9"/>
        <v>100</v>
      </c>
      <c r="W10" s="793">
        <f t="shared" si="5"/>
        <v>1</v>
      </c>
      <c r="X10" s="794">
        <f t="shared" si="10"/>
        <v>0</v>
      </c>
      <c r="Y10" s="794">
        <f t="shared" si="6"/>
        <v>18</v>
      </c>
      <c r="Z10" s="907">
        <f t="shared" si="11"/>
        <v>100</v>
      </c>
      <c r="AA10" s="259"/>
    </row>
    <row r="11" spans="1:62" ht="27" customHeight="1" thickBot="1">
      <c r="A11" s="765"/>
      <c r="B11" s="795"/>
      <c r="C11" s="1666" t="s">
        <v>2308</v>
      </c>
      <c r="D11" s="1667"/>
      <c r="E11" s="699"/>
      <c r="F11" s="803" t="s">
        <v>1775</v>
      </c>
      <c r="G11" s="213"/>
      <c r="I11" s="901" t="str">
        <f t="shared" si="7"/>
        <v/>
      </c>
      <c r="J11" s="787" t="str">
        <f t="shared" si="12"/>
        <v/>
      </c>
      <c r="K11" s="788" t="str">
        <f t="shared" si="0"/>
        <v/>
      </c>
      <c r="L11" s="277"/>
      <c r="M11" s="486"/>
      <c r="N11" s="733"/>
      <c r="O11" s="733"/>
      <c r="P11" s="1099" t="str">
        <f t="shared" si="1"/>
        <v/>
      </c>
      <c r="Q11" s="789" t="str">
        <f t="shared" si="2"/>
        <v/>
      </c>
      <c r="R11" s="790" t="str">
        <f t="shared" si="8"/>
        <v/>
      </c>
      <c r="S11" s="799" t="str">
        <f t="shared" si="3"/>
        <v/>
      </c>
      <c r="T11" s="791"/>
      <c r="U11" s="799" t="str">
        <f t="shared" si="4"/>
        <v/>
      </c>
      <c r="V11" s="792" t="str">
        <f t="shared" si="9"/>
        <v/>
      </c>
      <c r="W11" s="793" t="str">
        <f t="shared" si="5"/>
        <v/>
      </c>
      <c r="X11" s="794" t="str">
        <f t="shared" si="10"/>
        <v/>
      </c>
      <c r="Y11" s="794" t="str">
        <f t="shared" si="6"/>
        <v/>
      </c>
      <c r="Z11" s="907" t="str">
        <f t="shared" si="11"/>
        <v/>
      </c>
      <c r="AA11" s="259"/>
    </row>
    <row r="12" spans="1:62" ht="27" customHeight="1" thickBot="1">
      <c r="A12" s="765"/>
      <c r="B12" s="795"/>
      <c r="C12" s="801" t="s">
        <v>1829</v>
      </c>
      <c r="D12" s="801"/>
      <c r="E12" s="801" t="s">
        <v>1830</v>
      </c>
      <c r="F12" s="804"/>
      <c r="G12" s="213"/>
      <c r="I12" s="901" t="str">
        <f t="shared" si="7"/>
        <v/>
      </c>
      <c r="J12" s="787" t="str">
        <f t="shared" si="12"/>
        <v/>
      </c>
      <c r="K12" s="788" t="str">
        <f t="shared" si="0"/>
        <v/>
      </c>
      <c r="L12" s="277"/>
      <c r="M12" s="486"/>
      <c r="N12" s="733"/>
      <c r="O12" s="733"/>
      <c r="P12" s="1099" t="str">
        <f t="shared" si="1"/>
        <v/>
      </c>
      <c r="Q12" s="789" t="str">
        <f t="shared" si="2"/>
        <v/>
      </c>
      <c r="R12" s="790" t="str">
        <f t="shared" si="8"/>
        <v/>
      </c>
      <c r="S12" s="799" t="str">
        <f t="shared" si="3"/>
        <v/>
      </c>
      <c r="T12" s="791"/>
      <c r="U12" s="799" t="str">
        <f t="shared" si="4"/>
        <v/>
      </c>
      <c r="V12" s="792" t="str">
        <f t="shared" si="9"/>
        <v/>
      </c>
      <c r="W12" s="793" t="str">
        <f t="shared" si="5"/>
        <v/>
      </c>
      <c r="X12" s="794" t="str">
        <f t="shared" si="10"/>
        <v/>
      </c>
      <c r="Y12" s="794" t="str">
        <f t="shared" si="6"/>
        <v/>
      </c>
      <c r="Z12" s="907" t="str">
        <f t="shared" si="11"/>
        <v/>
      </c>
      <c r="AA12" s="259"/>
    </row>
    <row r="13" spans="1:62" ht="27" customHeight="1" thickBot="1">
      <c r="A13" s="765"/>
      <c r="B13" s="795"/>
      <c r="C13" s="805" t="s">
        <v>2400</v>
      </c>
      <c r="D13" s="129"/>
      <c r="E13" s="806" t="s">
        <v>245</v>
      </c>
      <c r="F13" s="807"/>
      <c r="G13" s="213"/>
      <c r="I13" s="901" t="str">
        <f t="shared" si="7"/>
        <v/>
      </c>
      <c r="J13" s="787" t="str">
        <f t="shared" si="12"/>
        <v/>
      </c>
      <c r="K13" s="788" t="str">
        <f t="shared" si="0"/>
        <v/>
      </c>
      <c r="L13" s="277"/>
      <c r="M13" s="486"/>
      <c r="N13" s="733"/>
      <c r="O13" s="733"/>
      <c r="P13" s="1099" t="str">
        <f t="shared" si="1"/>
        <v/>
      </c>
      <c r="Q13" s="789" t="str">
        <f t="shared" si="2"/>
        <v/>
      </c>
      <c r="R13" s="790" t="str">
        <f t="shared" si="8"/>
        <v/>
      </c>
      <c r="S13" s="799" t="str">
        <f t="shared" si="3"/>
        <v/>
      </c>
      <c r="T13" s="791"/>
      <c r="U13" s="799" t="str">
        <f t="shared" si="4"/>
        <v/>
      </c>
      <c r="V13" s="792" t="str">
        <f t="shared" si="9"/>
        <v/>
      </c>
      <c r="W13" s="793" t="str">
        <f t="shared" si="5"/>
        <v/>
      </c>
      <c r="X13" s="794" t="str">
        <f t="shared" si="10"/>
        <v/>
      </c>
      <c r="Y13" s="794" t="str">
        <f t="shared" si="6"/>
        <v/>
      </c>
      <c r="Z13" s="907" t="str">
        <f t="shared" si="11"/>
        <v/>
      </c>
      <c r="AA13" s="259"/>
    </row>
    <row r="14" spans="1:62" ht="27" customHeight="1" thickBot="1">
      <c r="A14" s="765"/>
      <c r="B14" s="766"/>
      <c r="C14" s="808" t="s">
        <v>1747</v>
      </c>
      <c r="D14" s="801"/>
      <c r="F14" s="802"/>
      <c r="I14" s="901" t="str">
        <f t="shared" si="7"/>
        <v/>
      </c>
      <c r="J14" s="787" t="str">
        <f t="shared" si="12"/>
        <v/>
      </c>
      <c r="K14" s="788" t="str">
        <f t="shared" si="0"/>
        <v/>
      </c>
      <c r="L14" s="277"/>
      <c r="M14" s="486"/>
      <c r="N14" s="733"/>
      <c r="O14" s="733"/>
      <c r="P14" s="1099" t="str">
        <f t="shared" si="1"/>
        <v/>
      </c>
      <c r="Q14" s="789" t="str">
        <f t="shared" si="2"/>
        <v/>
      </c>
      <c r="R14" s="790" t="str">
        <f t="shared" si="8"/>
        <v/>
      </c>
      <c r="S14" s="799" t="str">
        <f t="shared" si="3"/>
        <v/>
      </c>
      <c r="T14" s="791"/>
      <c r="U14" s="799" t="str">
        <f t="shared" si="4"/>
        <v/>
      </c>
      <c r="V14" s="792" t="str">
        <f t="shared" si="9"/>
        <v/>
      </c>
      <c r="W14" s="793" t="str">
        <f t="shared" si="5"/>
        <v/>
      </c>
      <c r="X14" s="794" t="str">
        <f t="shared" si="10"/>
        <v/>
      </c>
      <c r="Y14" s="794" t="str">
        <f t="shared" si="6"/>
        <v/>
      </c>
      <c r="Z14" s="907" t="str">
        <f t="shared" si="11"/>
        <v/>
      </c>
      <c r="AA14" s="259"/>
    </row>
    <row r="15" spans="1:62" ht="27" customHeight="1">
      <c r="A15" s="765"/>
      <c r="B15" s="795"/>
      <c r="C15" s="1668" t="s">
        <v>1855</v>
      </c>
      <c r="D15" s="1669"/>
      <c r="E15" s="1670"/>
      <c r="F15" s="802"/>
      <c r="G15" s="213"/>
      <c r="I15" s="901" t="str">
        <f t="shared" si="7"/>
        <v/>
      </c>
      <c r="J15" s="787" t="str">
        <f t="shared" si="12"/>
        <v/>
      </c>
      <c r="K15" s="788" t="str">
        <f t="shared" si="0"/>
        <v/>
      </c>
      <c r="L15" s="277"/>
      <c r="M15" s="486"/>
      <c r="N15" s="733"/>
      <c r="O15" s="733"/>
      <c r="P15" s="1099" t="str">
        <f t="shared" si="1"/>
        <v/>
      </c>
      <c r="Q15" s="789" t="str">
        <f t="shared" si="2"/>
        <v/>
      </c>
      <c r="R15" s="790" t="str">
        <f t="shared" si="8"/>
        <v/>
      </c>
      <c r="S15" s="799" t="str">
        <f t="shared" si="3"/>
        <v/>
      </c>
      <c r="T15" s="791"/>
      <c r="U15" s="799" t="str">
        <f t="shared" si="4"/>
        <v/>
      </c>
      <c r="V15" s="792" t="str">
        <f t="shared" si="9"/>
        <v/>
      </c>
      <c r="W15" s="793" t="str">
        <f t="shared" si="5"/>
        <v/>
      </c>
      <c r="X15" s="794" t="str">
        <f t="shared" si="10"/>
        <v/>
      </c>
      <c r="Y15" s="794" t="str">
        <f t="shared" si="6"/>
        <v/>
      </c>
      <c r="Z15" s="907" t="str">
        <f t="shared" si="11"/>
        <v/>
      </c>
      <c r="AA15" s="259"/>
    </row>
    <row r="16" spans="1:62" ht="27" customHeight="1" thickBot="1">
      <c r="A16" s="765"/>
      <c r="B16" s="766"/>
      <c r="C16" s="1671"/>
      <c r="D16" s="1672"/>
      <c r="E16" s="1673"/>
      <c r="F16" s="804"/>
      <c r="I16" s="901" t="str">
        <f t="shared" si="7"/>
        <v/>
      </c>
      <c r="J16" s="787" t="str">
        <f t="shared" si="12"/>
        <v/>
      </c>
      <c r="K16" s="788" t="str">
        <f t="shared" si="0"/>
        <v/>
      </c>
      <c r="L16" s="277"/>
      <c r="M16" s="486"/>
      <c r="N16" s="733"/>
      <c r="O16" s="733"/>
      <c r="P16" s="1099" t="str">
        <f t="shared" si="1"/>
        <v/>
      </c>
      <c r="Q16" s="789" t="str">
        <f t="shared" si="2"/>
        <v/>
      </c>
      <c r="R16" s="790" t="str">
        <f t="shared" si="8"/>
        <v/>
      </c>
      <c r="S16" s="799" t="str">
        <f t="shared" si="3"/>
        <v/>
      </c>
      <c r="T16" s="791"/>
      <c r="U16" s="799" t="str">
        <f t="shared" si="4"/>
        <v/>
      </c>
      <c r="V16" s="792" t="str">
        <f t="shared" si="9"/>
        <v/>
      </c>
      <c r="W16" s="793" t="str">
        <f t="shared" si="5"/>
        <v/>
      </c>
      <c r="X16" s="794" t="str">
        <f t="shared" si="10"/>
        <v/>
      </c>
      <c r="Y16" s="794" t="str">
        <f t="shared" si="6"/>
        <v/>
      </c>
      <c r="Z16" s="907" t="str">
        <f t="shared" si="11"/>
        <v/>
      </c>
      <c r="AA16" s="259"/>
    </row>
    <row r="17" spans="1:27" ht="27" customHeight="1" thickBot="1">
      <c r="A17" s="765"/>
      <c r="B17" s="795"/>
      <c r="C17" s="808" t="s">
        <v>1768</v>
      </c>
      <c r="E17" s="801" t="s">
        <v>1019</v>
      </c>
      <c r="F17" s="804"/>
      <c r="G17" s="213"/>
      <c r="I17" s="901" t="str">
        <f t="shared" si="7"/>
        <v/>
      </c>
      <c r="J17" s="787" t="str">
        <f t="shared" si="12"/>
        <v/>
      </c>
      <c r="K17" s="788" t="str">
        <f t="shared" si="0"/>
        <v/>
      </c>
      <c r="L17" s="277"/>
      <c r="M17" s="486"/>
      <c r="N17" s="733"/>
      <c r="O17" s="733"/>
      <c r="P17" s="1099" t="str">
        <f t="shared" si="1"/>
        <v/>
      </c>
      <c r="Q17" s="789" t="str">
        <f t="shared" si="2"/>
        <v/>
      </c>
      <c r="R17" s="790" t="str">
        <f t="shared" si="8"/>
        <v/>
      </c>
      <c r="S17" s="799" t="str">
        <f t="shared" si="3"/>
        <v/>
      </c>
      <c r="T17" s="791"/>
      <c r="U17" s="799" t="str">
        <f t="shared" si="4"/>
        <v/>
      </c>
      <c r="V17" s="792" t="str">
        <f t="shared" si="9"/>
        <v/>
      </c>
      <c r="W17" s="793" t="str">
        <f t="shared" si="5"/>
        <v/>
      </c>
      <c r="X17" s="794" t="str">
        <f t="shared" si="10"/>
        <v/>
      </c>
      <c r="Y17" s="794" t="str">
        <f t="shared" si="6"/>
        <v/>
      </c>
      <c r="Z17" s="907" t="str">
        <f t="shared" si="11"/>
        <v/>
      </c>
      <c r="AA17" s="259"/>
    </row>
    <row r="18" spans="1:27" ht="27" customHeight="1" thickBot="1">
      <c r="A18" s="765"/>
      <c r="B18" s="795"/>
      <c r="C18" s="1655"/>
      <c r="D18" s="717"/>
      <c r="E18" s="809" t="s">
        <v>415</v>
      </c>
      <c r="F18" s="807"/>
      <c r="G18" s="213"/>
      <c r="I18" s="901" t="str">
        <f t="shared" si="7"/>
        <v/>
      </c>
      <c r="J18" s="787" t="str">
        <f t="shared" si="12"/>
        <v/>
      </c>
      <c r="K18" s="788" t="str">
        <f t="shared" si="0"/>
        <v/>
      </c>
      <c r="L18" s="277"/>
      <c r="M18" s="486"/>
      <c r="N18" s="733"/>
      <c r="O18" s="733"/>
      <c r="P18" s="1099" t="str">
        <f t="shared" si="1"/>
        <v/>
      </c>
      <c r="Q18" s="789" t="str">
        <f t="shared" si="2"/>
        <v/>
      </c>
      <c r="R18" s="790" t="str">
        <f t="shared" si="8"/>
        <v/>
      </c>
      <c r="S18" s="799" t="str">
        <f t="shared" si="3"/>
        <v/>
      </c>
      <c r="T18" s="791"/>
      <c r="U18" s="799" t="str">
        <f t="shared" si="4"/>
        <v/>
      </c>
      <c r="V18" s="792" t="str">
        <f t="shared" si="9"/>
        <v/>
      </c>
      <c r="W18" s="793" t="str">
        <f t="shared" si="5"/>
        <v/>
      </c>
      <c r="X18" s="794" t="str">
        <f t="shared" si="10"/>
        <v/>
      </c>
      <c r="Y18" s="794" t="str">
        <f t="shared" si="6"/>
        <v/>
      </c>
      <c r="Z18" s="907" t="str">
        <f t="shared" si="11"/>
        <v/>
      </c>
      <c r="AA18" s="259"/>
    </row>
    <row r="19" spans="1:27" ht="27" customHeight="1" thickBot="1">
      <c r="A19" s="765"/>
      <c r="B19" s="795"/>
      <c r="C19" s="1656"/>
      <c r="D19" s="699"/>
      <c r="E19" s="801" t="s">
        <v>1825</v>
      </c>
      <c r="F19" s="802"/>
      <c r="G19" s="213"/>
      <c r="I19" s="901" t="str">
        <f t="shared" si="7"/>
        <v/>
      </c>
      <c r="J19" s="787" t="str">
        <f t="shared" si="12"/>
        <v/>
      </c>
      <c r="K19" s="788" t="str">
        <f t="shared" si="0"/>
        <v/>
      </c>
      <c r="L19" s="277"/>
      <c r="M19" s="486"/>
      <c r="N19" s="733"/>
      <c r="O19" s="733"/>
      <c r="P19" s="1099" t="str">
        <f t="shared" si="1"/>
        <v/>
      </c>
      <c r="Q19" s="789" t="str">
        <f t="shared" si="2"/>
        <v/>
      </c>
      <c r="R19" s="790" t="str">
        <f t="shared" si="8"/>
        <v/>
      </c>
      <c r="S19" s="799" t="str">
        <f t="shared" si="3"/>
        <v/>
      </c>
      <c r="T19" s="791"/>
      <c r="U19" s="799" t="str">
        <f t="shared" si="4"/>
        <v/>
      </c>
      <c r="V19" s="792" t="str">
        <f t="shared" si="9"/>
        <v/>
      </c>
      <c r="W19" s="793" t="str">
        <f t="shared" si="5"/>
        <v/>
      </c>
      <c r="X19" s="794" t="str">
        <f t="shared" si="10"/>
        <v/>
      </c>
      <c r="Y19" s="794" t="str">
        <f t="shared" si="6"/>
        <v/>
      </c>
      <c r="Z19" s="907" t="str">
        <f t="shared" si="11"/>
        <v/>
      </c>
      <c r="AA19" s="259"/>
    </row>
    <row r="20" spans="1:27" ht="27" customHeight="1" thickBot="1">
      <c r="A20" s="765"/>
      <c r="B20" s="766"/>
      <c r="C20" s="810" t="str">
        <f>IF(OR(ISNA(VLOOKUP(MID(quote_ship_to,1,7),ship_to_list,3,FALSE)),quote_ship_to=""),C18,IF(C18="",VLOOKUP(MID(quote_ship_to,1,7),ship_to_list,3,FALSE),C18))</f>
        <v>099887766</v>
      </c>
      <c r="D20" s="811"/>
      <c r="E20" s="812">
        <f>IF(quote_branch="","",VLOOKUP(MID(quote_branch,1,2)*1,branch_list,24,FALSE))</f>
        <v>1</v>
      </c>
      <c r="F20" s="813" t="str">
        <f>IF(quote_currency_id="","",VLOOKUP(quote_currency_id,currency_list,3,FALSE))</f>
        <v>$</v>
      </c>
      <c r="I20" s="901" t="str">
        <f t="shared" si="7"/>
        <v/>
      </c>
      <c r="J20" s="787" t="str">
        <f t="shared" si="12"/>
        <v/>
      </c>
      <c r="K20" s="788" t="str">
        <f t="shared" si="0"/>
        <v/>
      </c>
      <c r="L20" s="277"/>
      <c r="M20" s="486"/>
      <c r="N20" s="733"/>
      <c r="O20" s="733"/>
      <c r="P20" s="1099" t="str">
        <f t="shared" si="1"/>
        <v/>
      </c>
      <c r="Q20" s="789" t="str">
        <f t="shared" si="2"/>
        <v/>
      </c>
      <c r="R20" s="790" t="str">
        <f t="shared" si="8"/>
        <v/>
      </c>
      <c r="S20" s="799" t="str">
        <f t="shared" si="3"/>
        <v/>
      </c>
      <c r="T20" s="791"/>
      <c r="U20" s="799" t="str">
        <f t="shared" si="4"/>
        <v/>
      </c>
      <c r="V20" s="792" t="str">
        <f t="shared" si="9"/>
        <v/>
      </c>
      <c r="W20" s="793" t="str">
        <f t="shared" si="5"/>
        <v/>
      </c>
      <c r="X20" s="794" t="str">
        <f t="shared" si="10"/>
        <v/>
      </c>
      <c r="Y20" s="794" t="str">
        <f t="shared" si="6"/>
        <v/>
      </c>
      <c r="Z20" s="907" t="str">
        <f t="shared" si="11"/>
        <v/>
      </c>
      <c r="AA20" s="259"/>
    </row>
    <row r="21" spans="1:27" ht="27" customHeight="1" thickBot="1">
      <c r="A21" s="765"/>
      <c r="B21" s="766"/>
      <c r="C21" s="808" t="s">
        <v>399</v>
      </c>
      <c r="D21" s="814"/>
      <c r="E21" s="814"/>
      <c r="F21" s="804"/>
      <c r="I21" s="901" t="str">
        <f t="shared" si="7"/>
        <v/>
      </c>
      <c r="J21" s="787" t="str">
        <f t="shared" si="12"/>
        <v/>
      </c>
      <c r="K21" s="788" t="str">
        <f t="shared" si="0"/>
        <v/>
      </c>
      <c r="L21" s="277"/>
      <c r="M21" s="486"/>
      <c r="N21" s="733"/>
      <c r="O21" s="733"/>
      <c r="P21" s="1099" t="str">
        <f t="shared" si="1"/>
        <v/>
      </c>
      <c r="Q21" s="789" t="str">
        <f t="shared" si="2"/>
        <v/>
      </c>
      <c r="R21" s="790" t="str">
        <f t="shared" si="8"/>
        <v/>
      </c>
      <c r="S21" s="799" t="str">
        <f t="shared" si="3"/>
        <v/>
      </c>
      <c r="T21" s="791"/>
      <c r="U21" s="799" t="str">
        <f t="shared" si="4"/>
        <v/>
      </c>
      <c r="V21" s="792" t="str">
        <f t="shared" si="9"/>
        <v/>
      </c>
      <c r="W21" s="793" t="str">
        <f t="shared" si="5"/>
        <v/>
      </c>
      <c r="X21" s="794" t="str">
        <f t="shared" si="10"/>
        <v/>
      </c>
      <c r="Y21" s="794" t="str">
        <f t="shared" si="6"/>
        <v/>
      </c>
      <c r="Z21" s="907" t="str">
        <f t="shared" si="11"/>
        <v/>
      </c>
      <c r="AA21" s="259"/>
    </row>
    <row r="22" spans="1:27" ht="27" customHeight="1">
      <c r="A22" s="765"/>
      <c r="B22" s="766"/>
      <c r="C22" s="1674" t="s">
        <v>246</v>
      </c>
      <c r="D22" s="1675"/>
      <c r="E22" s="1676"/>
      <c r="F22" s="804"/>
      <c r="I22" s="901" t="str">
        <f t="shared" si="7"/>
        <v/>
      </c>
      <c r="J22" s="787" t="str">
        <f t="shared" si="12"/>
        <v/>
      </c>
      <c r="K22" s="788" t="str">
        <f t="shared" si="0"/>
        <v/>
      </c>
      <c r="L22" s="277"/>
      <c r="M22" s="486"/>
      <c r="N22" s="733"/>
      <c r="O22" s="733"/>
      <c r="P22" s="1099" t="str">
        <f t="shared" si="1"/>
        <v/>
      </c>
      <c r="Q22" s="789" t="str">
        <f t="shared" si="2"/>
        <v/>
      </c>
      <c r="R22" s="790" t="str">
        <f t="shared" si="8"/>
        <v/>
      </c>
      <c r="S22" s="799" t="str">
        <f t="shared" si="3"/>
        <v/>
      </c>
      <c r="T22" s="791"/>
      <c r="U22" s="799" t="str">
        <f t="shared" si="4"/>
        <v/>
      </c>
      <c r="V22" s="792" t="str">
        <f t="shared" si="9"/>
        <v/>
      </c>
      <c r="W22" s="793" t="str">
        <f t="shared" si="5"/>
        <v/>
      </c>
      <c r="X22" s="794" t="str">
        <f t="shared" si="10"/>
        <v/>
      </c>
      <c r="Y22" s="794" t="str">
        <f t="shared" si="6"/>
        <v/>
      </c>
      <c r="Z22" s="907" t="str">
        <f t="shared" si="11"/>
        <v/>
      </c>
      <c r="AA22" s="259"/>
    </row>
    <row r="23" spans="1:27" ht="27" customHeight="1" thickBot="1">
      <c r="A23" s="765"/>
      <c r="B23" s="766"/>
      <c r="C23" s="1677"/>
      <c r="D23" s="1678"/>
      <c r="E23" s="1679"/>
      <c r="F23" s="804"/>
      <c r="I23" s="901" t="str">
        <f t="shared" si="7"/>
        <v/>
      </c>
      <c r="J23" s="787" t="str">
        <f t="shared" si="12"/>
        <v/>
      </c>
      <c r="K23" s="788" t="str">
        <f t="shared" si="0"/>
        <v/>
      </c>
      <c r="L23" s="277"/>
      <c r="M23" s="486"/>
      <c r="N23" s="733"/>
      <c r="O23" s="733"/>
      <c r="P23" s="1099" t="str">
        <f t="shared" si="1"/>
        <v/>
      </c>
      <c r="Q23" s="789" t="str">
        <f t="shared" si="2"/>
        <v/>
      </c>
      <c r="R23" s="790" t="str">
        <f t="shared" si="8"/>
        <v/>
      </c>
      <c r="S23" s="799" t="str">
        <f t="shared" si="3"/>
        <v/>
      </c>
      <c r="T23" s="791"/>
      <c r="U23" s="799" t="str">
        <f t="shared" si="4"/>
        <v/>
      </c>
      <c r="V23" s="792" t="str">
        <f t="shared" si="9"/>
        <v/>
      </c>
      <c r="W23" s="793" t="str">
        <f t="shared" si="5"/>
        <v/>
      </c>
      <c r="X23" s="794" t="str">
        <f t="shared" si="10"/>
        <v/>
      </c>
      <c r="Y23" s="794" t="str">
        <f t="shared" si="6"/>
        <v/>
      </c>
      <c r="Z23" s="907" t="str">
        <f t="shared" si="11"/>
        <v/>
      </c>
      <c r="AA23" s="259"/>
    </row>
    <row r="24" spans="1:27" ht="27" hidden="1" customHeight="1">
      <c r="A24" s="765"/>
      <c r="B24" s="766"/>
      <c r="C24" s="699"/>
      <c r="D24" s="815"/>
      <c r="F24" s="802"/>
      <c r="I24" s="901" t="str">
        <f t="shared" si="7"/>
        <v/>
      </c>
      <c r="J24" s="787" t="str">
        <f t="shared" ref="J24:J72" si="13">IF(M24="","",1)</f>
        <v/>
      </c>
      <c r="K24" s="788" t="str">
        <f t="shared" si="0"/>
        <v/>
      </c>
      <c r="L24" s="277"/>
      <c r="M24" s="486"/>
      <c r="N24" s="733"/>
      <c r="O24" s="732"/>
      <c r="P24" s="637" t="str">
        <f t="shared" si="1"/>
        <v/>
      </c>
      <c r="Q24" s="789" t="str">
        <f t="shared" si="2"/>
        <v/>
      </c>
      <c r="R24" s="790" t="str">
        <f t="shared" ref="R24:R39" si="14">IFERROR(IF(M24="","",IF(quote_price_type_id="01",VLOOKUP(MID(M24,1,5),product_list,13,FALSE),IF(quote_price_type_id="02",VLOOKUP(MID(M24,1,5),product_list,14,FALSE),IF(quote_price_type_id="03",VLOOKUP(MID(M24,1,5),product_list,15,FALSE),IF(quote_price_type_id="04",VLOOKUP(MID(M24,1,5),product_list,16,FALSE),IF(quote_price_type_id="05",VLOOKUP(MID(M24,1,5),product_list,12,FALSE),"")))))),"")</f>
        <v/>
      </c>
      <c r="S24" s="799" t="str">
        <f t="shared" si="3"/>
        <v/>
      </c>
      <c r="T24" s="791"/>
      <c r="U24" s="799" t="str">
        <f t="shared" si="4"/>
        <v/>
      </c>
      <c r="V24" s="792" t="str">
        <f t="shared" si="9"/>
        <v/>
      </c>
      <c r="W24" s="793" t="str">
        <f t="shared" ref="W24:W39" si="15">IF(AND(M24="",ISNA(VLOOKUP(MID(M24,1,5),product_list,20,FALSE))),"",VLOOKUP(MID(M24,1,5),product_list,20,FALSE))</f>
        <v/>
      </c>
      <c r="X24" s="794" t="str">
        <f t="shared" si="10"/>
        <v/>
      </c>
      <c r="Y24" s="794" t="str">
        <f t="shared" ref="Y24:Y39" si="16">IF(M24="","",VLOOKUP(MID(M24,1,5),product_list,12,FALSE))</f>
        <v/>
      </c>
      <c r="Z24" s="816" t="str">
        <f t="shared" si="11"/>
        <v/>
      </c>
    </row>
    <row r="25" spans="1:27" ht="27" hidden="1" customHeight="1">
      <c r="A25" s="765"/>
      <c r="B25" s="766"/>
      <c r="D25" s="699"/>
      <c r="E25" s="699"/>
      <c r="F25" s="804"/>
      <c r="I25" s="901" t="str">
        <f t="shared" si="7"/>
        <v/>
      </c>
      <c r="J25" s="787" t="str">
        <f t="shared" si="13"/>
        <v/>
      </c>
      <c r="K25" s="788" t="str">
        <f t="shared" si="0"/>
        <v/>
      </c>
      <c r="L25" s="277"/>
      <c r="M25" s="486"/>
      <c r="N25" s="733"/>
      <c r="O25" s="732"/>
      <c r="P25" s="637" t="str">
        <f t="shared" si="1"/>
        <v/>
      </c>
      <c r="Q25" s="789" t="str">
        <f t="shared" si="2"/>
        <v/>
      </c>
      <c r="R25" s="790" t="str">
        <f t="shared" si="14"/>
        <v/>
      </c>
      <c r="S25" s="799" t="str">
        <f t="shared" si="3"/>
        <v/>
      </c>
      <c r="T25" s="791"/>
      <c r="U25" s="799" t="str">
        <f t="shared" si="4"/>
        <v/>
      </c>
      <c r="V25" s="792" t="str">
        <f t="shared" si="9"/>
        <v/>
      </c>
      <c r="W25" s="793" t="str">
        <f t="shared" si="15"/>
        <v/>
      </c>
      <c r="X25" s="794" t="str">
        <f t="shared" si="10"/>
        <v/>
      </c>
      <c r="Y25" s="794" t="str">
        <f t="shared" si="16"/>
        <v/>
      </c>
      <c r="Z25" s="816" t="str">
        <f t="shared" si="11"/>
        <v/>
      </c>
    </row>
    <row r="26" spans="1:27" ht="27" hidden="1" customHeight="1">
      <c r="A26" s="765"/>
      <c r="B26" s="766"/>
      <c r="C26" s="699"/>
      <c r="D26" s="699"/>
      <c r="E26" s="699"/>
      <c r="F26" s="804"/>
      <c r="I26" s="901" t="str">
        <f t="shared" si="7"/>
        <v/>
      </c>
      <c r="J26" s="787" t="str">
        <f t="shared" si="13"/>
        <v/>
      </c>
      <c r="K26" s="788" t="str">
        <f t="shared" si="0"/>
        <v/>
      </c>
      <c r="L26" s="277"/>
      <c r="M26" s="486"/>
      <c r="N26" s="733"/>
      <c r="O26" s="732"/>
      <c r="P26" s="637" t="str">
        <f t="shared" si="1"/>
        <v/>
      </c>
      <c r="Q26" s="789" t="str">
        <f t="shared" si="2"/>
        <v/>
      </c>
      <c r="R26" s="790" t="str">
        <f t="shared" si="14"/>
        <v/>
      </c>
      <c r="S26" s="799" t="str">
        <f t="shared" si="3"/>
        <v/>
      </c>
      <c r="T26" s="791"/>
      <c r="U26" s="799" t="str">
        <f t="shared" si="4"/>
        <v/>
      </c>
      <c r="V26" s="792" t="str">
        <f t="shared" si="9"/>
        <v/>
      </c>
      <c r="W26" s="793" t="str">
        <f t="shared" si="15"/>
        <v/>
      </c>
      <c r="X26" s="794" t="str">
        <f t="shared" si="10"/>
        <v/>
      </c>
      <c r="Y26" s="794" t="str">
        <f t="shared" si="16"/>
        <v/>
      </c>
      <c r="Z26" s="816" t="str">
        <f t="shared" si="11"/>
        <v/>
      </c>
    </row>
    <row r="27" spans="1:27" ht="27" hidden="1" customHeight="1">
      <c r="A27" s="765"/>
      <c r="B27" s="766"/>
      <c r="C27" s="699"/>
      <c r="D27" s="699"/>
      <c r="E27" s="699"/>
      <c r="F27" s="804"/>
      <c r="I27" s="901" t="str">
        <f t="shared" si="7"/>
        <v/>
      </c>
      <c r="J27" s="787" t="str">
        <f t="shared" si="13"/>
        <v/>
      </c>
      <c r="K27" s="788" t="str">
        <f t="shared" si="0"/>
        <v/>
      </c>
      <c r="L27" s="277"/>
      <c r="M27" s="486"/>
      <c r="N27" s="733"/>
      <c r="O27" s="732"/>
      <c r="P27" s="637" t="str">
        <f t="shared" si="1"/>
        <v/>
      </c>
      <c r="Q27" s="789" t="str">
        <f t="shared" si="2"/>
        <v/>
      </c>
      <c r="R27" s="790" t="str">
        <f t="shared" si="14"/>
        <v/>
      </c>
      <c r="S27" s="799" t="str">
        <f t="shared" si="3"/>
        <v/>
      </c>
      <c r="T27" s="791"/>
      <c r="U27" s="799" t="str">
        <f t="shared" si="4"/>
        <v/>
      </c>
      <c r="V27" s="792" t="str">
        <f t="shared" si="9"/>
        <v/>
      </c>
      <c r="W27" s="793" t="str">
        <f t="shared" si="15"/>
        <v/>
      </c>
      <c r="X27" s="794" t="str">
        <f t="shared" si="10"/>
        <v/>
      </c>
      <c r="Y27" s="794" t="str">
        <f t="shared" si="16"/>
        <v/>
      </c>
      <c r="Z27" s="816" t="str">
        <f t="shared" si="11"/>
        <v/>
      </c>
    </row>
    <row r="28" spans="1:27" ht="27" hidden="1" customHeight="1">
      <c r="A28" s="765"/>
      <c r="B28" s="766"/>
      <c r="C28" s="699"/>
      <c r="D28" s="699"/>
      <c r="E28" s="699"/>
      <c r="F28" s="804"/>
      <c r="I28" s="901" t="str">
        <f t="shared" si="7"/>
        <v/>
      </c>
      <c r="J28" s="787" t="str">
        <f t="shared" si="13"/>
        <v/>
      </c>
      <c r="K28" s="788" t="str">
        <f t="shared" si="0"/>
        <v/>
      </c>
      <c r="L28" s="277"/>
      <c r="M28" s="486"/>
      <c r="N28" s="733"/>
      <c r="O28" s="732"/>
      <c r="P28" s="637" t="str">
        <f t="shared" si="1"/>
        <v/>
      </c>
      <c r="Q28" s="789" t="str">
        <f t="shared" si="2"/>
        <v/>
      </c>
      <c r="R28" s="790" t="str">
        <f t="shared" si="14"/>
        <v/>
      </c>
      <c r="S28" s="799" t="str">
        <f t="shared" si="3"/>
        <v/>
      </c>
      <c r="T28" s="791"/>
      <c r="U28" s="799" t="str">
        <f t="shared" si="4"/>
        <v/>
      </c>
      <c r="V28" s="792" t="str">
        <f t="shared" si="9"/>
        <v/>
      </c>
      <c r="W28" s="793" t="str">
        <f t="shared" si="15"/>
        <v/>
      </c>
      <c r="X28" s="794" t="str">
        <f t="shared" si="10"/>
        <v/>
      </c>
      <c r="Y28" s="794" t="str">
        <f t="shared" si="16"/>
        <v/>
      </c>
      <c r="Z28" s="816" t="str">
        <f t="shared" si="11"/>
        <v/>
      </c>
    </row>
    <row r="29" spans="1:27" ht="27" hidden="1" customHeight="1">
      <c r="A29" s="765"/>
      <c r="B29" s="766"/>
      <c r="C29" s="699"/>
      <c r="D29" s="699"/>
      <c r="E29" s="699"/>
      <c r="F29" s="804"/>
      <c r="I29" s="901" t="str">
        <f t="shared" si="7"/>
        <v/>
      </c>
      <c r="J29" s="787" t="str">
        <f t="shared" si="13"/>
        <v/>
      </c>
      <c r="K29" s="788" t="str">
        <f t="shared" si="0"/>
        <v/>
      </c>
      <c r="L29" s="277"/>
      <c r="M29" s="486"/>
      <c r="N29" s="733"/>
      <c r="O29" s="732"/>
      <c r="P29" s="637" t="str">
        <f t="shared" si="1"/>
        <v/>
      </c>
      <c r="Q29" s="789" t="str">
        <f t="shared" si="2"/>
        <v/>
      </c>
      <c r="R29" s="790" t="str">
        <f t="shared" si="14"/>
        <v/>
      </c>
      <c r="S29" s="799" t="str">
        <f t="shared" si="3"/>
        <v/>
      </c>
      <c r="T29" s="791"/>
      <c r="U29" s="799" t="str">
        <f t="shared" si="4"/>
        <v/>
      </c>
      <c r="V29" s="792" t="str">
        <f t="shared" si="9"/>
        <v/>
      </c>
      <c r="W29" s="793" t="str">
        <f t="shared" si="15"/>
        <v/>
      </c>
      <c r="X29" s="794" t="str">
        <f t="shared" si="10"/>
        <v/>
      </c>
      <c r="Y29" s="794" t="str">
        <f t="shared" si="16"/>
        <v/>
      </c>
      <c r="Z29" s="816" t="str">
        <f t="shared" si="11"/>
        <v/>
      </c>
    </row>
    <row r="30" spans="1:27" ht="27" hidden="1" customHeight="1">
      <c r="A30" s="765"/>
      <c r="B30" s="766"/>
      <c r="C30" s="699"/>
      <c r="D30" s="699"/>
      <c r="E30" s="699"/>
      <c r="F30" s="804"/>
      <c r="I30" s="901" t="str">
        <f t="shared" si="7"/>
        <v/>
      </c>
      <c r="J30" s="787" t="str">
        <f t="shared" si="13"/>
        <v/>
      </c>
      <c r="K30" s="788" t="str">
        <f t="shared" si="0"/>
        <v/>
      </c>
      <c r="L30" s="277"/>
      <c r="M30" s="486"/>
      <c r="N30" s="733"/>
      <c r="O30" s="732"/>
      <c r="P30" s="637" t="str">
        <f t="shared" si="1"/>
        <v/>
      </c>
      <c r="Q30" s="789" t="str">
        <f t="shared" si="2"/>
        <v/>
      </c>
      <c r="R30" s="790" t="str">
        <f t="shared" si="14"/>
        <v/>
      </c>
      <c r="S30" s="799" t="str">
        <f t="shared" si="3"/>
        <v/>
      </c>
      <c r="T30" s="791"/>
      <c r="U30" s="799" t="str">
        <f t="shared" si="4"/>
        <v/>
      </c>
      <c r="V30" s="792" t="str">
        <f t="shared" si="9"/>
        <v/>
      </c>
      <c r="W30" s="793" t="str">
        <f t="shared" si="15"/>
        <v/>
      </c>
      <c r="X30" s="794" t="str">
        <f t="shared" si="10"/>
        <v/>
      </c>
      <c r="Y30" s="794" t="str">
        <f t="shared" si="16"/>
        <v/>
      </c>
      <c r="Z30" s="816" t="str">
        <f t="shared" si="11"/>
        <v/>
      </c>
    </row>
    <row r="31" spans="1:27" ht="27" hidden="1" customHeight="1">
      <c r="A31" s="765"/>
      <c r="B31" s="766"/>
      <c r="C31" s="699"/>
      <c r="D31" s="699"/>
      <c r="E31" s="699"/>
      <c r="F31" s="804"/>
      <c r="I31" s="901" t="str">
        <f t="shared" si="7"/>
        <v/>
      </c>
      <c r="J31" s="787" t="str">
        <f t="shared" si="13"/>
        <v/>
      </c>
      <c r="K31" s="788" t="str">
        <f t="shared" si="0"/>
        <v/>
      </c>
      <c r="L31" s="277"/>
      <c r="M31" s="486"/>
      <c r="N31" s="733"/>
      <c r="O31" s="732"/>
      <c r="P31" s="637" t="str">
        <f t="shared" si="1"/>
        <v/>
      </c>
      <c r="Q31" s="789" t="str">
        <f t="shared" si="2"/>
        <v/>
      </c>
      <c r="R31" s="790" t="str">
        <f t="shared" si="14"/>
        <v/>
      </c>
      <c r="S31" s="799" t="str">
        <f t="shared" si="3"/>
        <v/>
      </c>
      <c r="T31" s="791"/>
      <c r="U31" s="799" t="str">
        <f t="shared" si="4"/>
        <v/>
      </c>
      <c r="V31" s="792" t="str">
        <f t="shared" si="9"/>
        <v/>
      </c>
      <c r="W31" s="793" t="str">
        <f t="shared" si="15"/>
        <v/>
      </c>
      <c r="X31" s="794" t="str">
        <f t="shared" si="10"/>
        <v/>
      </c>
      <c r="Y31" s="794" t="str">
        <f t="shared" si="16"/>
        <v/>
      </c>
      <c r="Z31" s="816" t="str">
        <f t="shared" si="11"/>
        <v/>
      </c>
    </row>
    <row r="32" spans="1:27" ht="27" hidden="1" customHeight="1">
      <c r="A32" s="765"/>
      <c r="B32" s="766"/>
      <c r="C32" s="699"/>
      <c r="D32" s="699"/>
      <c r="E32" s="699"/>
      <c r="F32" s="804"/>
      <c r="I32" s="901" t="str">
        <f t="shared" si="7"/>
        <v/>
      </c>
      <c r="J32" s="787" t="str">
        <f t="shared" si="13"/>
        <v/>
      </c>
      <c r="K32" s="788" t="str">
        <f t="shared" si="0"/>
        <v/>
      </c>
      <c r="L32" s="277"/>
      <c r="M32" s="486"/>
      <c r="N32" s="733"/>
      <c r="O32" s="732"/>
      <c r="P32" s="637" t="str">
        <f t="shared" si="1"/>
        <v/>
      </c>
      <c r="Q32" s="789" t="str">
        <f t="shared" si="2"/>
        <v/>
      </c>
      <c r="R32" s="790" t="str">
        <f t="shared" si="14"/>
        <v/>
      </c>
      <c r="S32" s="799" t="str">
        <f t="shared" si="3"/>
        <v/>
      </c>
      <c r="T32" s="791"/>
      <c r="U32" s="799" t="str">
        <f t="shared" si="4"/>
        <v/>
      </c>
      <c r="V32" s="792" t="str">
        <f t="shared" si="9"/>
        <v/>
      </c>
      <c r="W32" s="793" t="str">
        <f t="shared" si="15"/>
        <v/>
      </c>
      <c r="X32" s="794" t="str">
        <f t="shared" si="10"/>
        <v/>
      </c>
      <c r="Y32" s="794" t="str">
        <f t="shared" si="16"/>
        <v/>
      </c>
      <c r="Z32" s="816" t="str">
        <f t="shared" si="11"/>
        <v/>
      </c>
    </row>
    <row r="33" spans="1:26" ht="27" hidden="1" customHeight="1">
      <c r="A33" s="765"/>
      <c r="B33" s="766"/>
      <c r="C33" s="699"/>
      <c r="D33" s="699"/>
      <c r="E33" s="699"/>
      <c r="F33" s="804"/>
      <c r="I33" s="901" t="str">
        <f t="shared" si="7"/>
        <v/>
      </c>
      <c r="J33" s="787" t="str">
        <f t="shared" si="13"/>
        <v/>
      </c>
      <c r="K33" s="788" t="str">
        <f t="shared" si="0"/>
        <v/>
      </c>
      <c r="L33" s="277"/>
      <c r="M33" s="486"/>
      <c r="N33" s="733"/>
      <c r="O33" s="732"/>
      <c r="P33" s="637" t="str">
        <f t="shared" si="1"/>
        <v/>
      </c>
      <c r="Q33" s="789" t="str">
        <f t="shared" si="2"/>
        <v/>
      </c>
      <c r="R33" s="790" t="str">
        <f t="shared" si="14"/>
        <v/>
      </c>
      <c r="S33" s="799" t="str">
        <f t="shared" si="3"/>
        <v/>
      </c>
      <c r="T33" s="791"/>
      <c r="U33" s="799" t="str">
        <f t="shared" si="4"/>
        <v/>
      </c>
      <c r="V33" s="792" t="str">
        <f t="shared" si="9"/>
        <v/>
      </c>
      <c r="W33" s="793" t="str">
        <f t="shared" si="15"/>
        <v/>
      </c>
      <c r="X33" s="794" t="str">
        <f t="shared" si="10"/>
        <v/>
      </c>
      <c r="Y33" s="794" t="str">
        <f t="shared" si="16"/>
        <v/>
      </c>
      <c r="Z33" s="816" t="str">
        <f t="shared" si="11"/>
        <v/>
      </c>
    </row>
    <row r="34" spans="1:26" ht="27" hidden="1" customHeight="1">
      <c r="A34" s="765"/>
      <c r="B34" s="766"/>
      <c r="C34" s="699"/>
      <c r="D34" s="699"/>
      <c r="E34" s="699"/>
      <c r="F34" s="804"/>
      <c r="I34" s="901" t="str">
        <f t="shared" si="7"/>
        <v/>
      </c>
      <c r="J34" s="787" t="str">
        <f t="shared" si="13"/>
        <v/>
      </c>
      <c r="K34" s="788" t="str">
        <f t="shared" si="0"/>
        <v/>
      </c>
      <c r="L34" s="277"/>
      <c r="M34" s="486"/>
      <c r="N34" s="733"/>
      <c r="O34" s="732"/>
      <c r="P34" s="637" t="str">
        <f t="shared" si="1"/>
        <v/>
      </c>
      <c r="Q34" s="789" t="str">
        <f t="shared" si="2"/>
        <v/>
      </c>
      <c r="R34" s="790" t="str">
        <f t="shared" si="14"/>
        <v/>
      </c>
      <c r="S34" s="799" t="str">
        <f t="shared" si="3"/>
        <v/>
      </c>
      <c r="T34" s="791"/>
      <c r="U34" s="799" t="str">
        <f t="shared" si="4"/>
        <v/>
      </c>
      <c r="V34" s="792" t="str">
        <f t="shared" si="9"/>
        <v/>
      </c>
      <c r="W34" s="793" t="str">
        <f t="shared" si="15"/>
        <v/>
      </c>
      <c r="X34" s="794" t="str">
        <f t="shared" si="10"/>
        <v/>
      </c>
      <c r="Y34" s="794" t="str">
        <f t="shared" si="16"/>
        <v/>
      </c>
      <c r="Z34" s="816" t="str">
        <f t="shared" si="11"/>
        <v/>
      </c>
    </row>
    <row r="35" spans="1:26" ht="27" hidden="1" customHeight="1">
      <c r="A35" s="765"/>
      <c r="B35" s="766"/>
      <c r="C35" s="699"/>
      <c r="D35" s="699"/>
      <c r="E35" s="699"/>
      <c r="F35" s="804"/>
      <c r="I35" s="901" t="str">
        <f t="shared" si="7"/>
        <v/>
      </c>
      <c r="J35" s="787" t="str">
        <f t="shared" si="13"/>
        <v/>
      </c>
      <c r="K35" s="788" t="str">
        <f t="shared" si="0"/>
        <v/>
      </c>
      <c r="L35" s="277"/>
      <c r="M35" s="486"/>
      <c r="N35" s="733"/>
      <c r="O35" s="732"/>
      <c r="P35" s="637" t="str">
        <f t="shared" si="1"/>
        <v/>
      </c>
      <c r="Q35" s="789" t="str">
        <f t="shared" si="2"/>
        <v/>
      </c>
      <c r="R35" s="790" t="str">
        <f t="shared" si="14"/>
        <v/>
      </c>
      <c r="S35" s="799" t="str">
        <f t="shared" si="3"/>
        <v/>
      </c>
      <c r="T35" s="791"/>
      <c r="U35" s="799" t="str">
        <f t="shared" si="4"/>
        <v/>
      </c>
      <c r="V35" s="792" t="str">
        <f t="shared" si="9"/>
        <v/>
      </c>
      <c r="W35" s="793" t="str">
        <f t="shared" si="15"/>
        <v/>
      </c>
      <c r="X35" s="794" t="str">
        <f t="shared" si="10"/>
        <v/>
      </c>
      <c r="Y35" s="794" t="str">
        <f t="shared" si="16"/>
        <v/>
      </c>
      <c r="Z35" s="816" t="str">
        <f t="shared" si="11"/>
        <v/>
      </c>
    </row>
    <row r="36" spans="1:26" ht="27" hidden="1" customHeight="1">
      <c r="A36" s="765"/>
      <c r="B36" s="766"/>
      <c r="C36" s="699"/>
      <c r="D36" s="699"/>
      <c r="E36" s="699"/>
      <c r="F36" s="804"/>
      <c r="I36" s="901" t="str">
        <f t="shared" si="7"/>
        <v/>
      </c>
      <c r="J36" s="787" t="str">
        <f t="shared" si="13"/>
        <v/>
      </c>
      <c r="K36" s="788" t="str">
        <f t="shared" si="0"/>
        <v/>
      </c>
      <c r="L36" s="277"/>
      <c r="M36" s="486"/>
      <c r="N36" s="733"/>
      <c r="O36" s="732"/>
      <c r="P36" s="637" t="str">
        <f t="shared" si="1"/>
        <v/>
      </c>
      <c r="Q36" s="789" t="str">
        <f t="shared" si="2"/>
        <v/>
      </c>
      <c r="R36" s="790" t="str">
        <f t="shared" si="14"/>
        <v/>
      </c>
      <c r="S36" s="799" t="str">
        <f t="shared" si="3"/>
        <v/>
      </c>
      <c r="T36" s="791"/>
      <c r="U36" s="799" t="str">
        <f t="shared" si="4"/>
        <v/>
      </c>
      <c r="V36" s="792" t="str">
        <f t="shared" si="9"/>
        <v/>
      </c>
      <c r="W36" s="793" t="str">
        <f t="shared" si="15"/>
        <v/>
      </c>
      <c r="X36" s="794" t="str">
        <f t="shared" si="10"/>
        <v/>
      </c>
      <c r="Y36" s="794" t="str">
        <f t="shared" si="16"/>
        <v/>
      </c>
      <c r="Z36" s="816" t="str">
        <f t="shared" si="11"/>
        <v/>
      </c>
    </row>
    <row r="37" spans="1:26" ht="27" hidden="1" customHeight="1">
      <c r="A37" s="765"/>
      <c r="B37" s="766"/>
      <c r="C37" s="699"/>
      <c r="D37" s="699"/>
      <c r="E37" s="699"/>
      <c r="F37" s="804"/>
      <c r="I37" s="901" t="str">
        <f t="shared" si="7"/>
        <v/>
      </c>
      <c r="J37" s="787" t="str">
        <f t="shared" si="13"/>
        <v/>
      </c>
      <c r="K37" s="788" t="str">
        <f t="shared" si="0"/>
        <v/>
      </c>
      <c r="L37" s="277"/>
      <c r="M37" s="486"/>
      <c r="N37" s="733"/>
      <c r="O37" s="732"/>
      <c r="P37" s="637" t="str">
        <f t="shared" si="1"/>
        <v/>
      </c>
      <c r="Q37" s="789" t="str">
        <f t="shared" si="2"/>
        <v/>
      </c>
      <c r="R37" s="790" t="str">
        <f t="shared" si="14"/>
        <v/>
      </c>
      <c r="S37" s="799" t="str">
        <f t="shared" si="3"/>
        <v/>
      </c>
      <c r="T37" s="791"/>
      <c r="U37" s="799" t="str">
        <f t="shared" si="4"/>
        <v/>
      </c>
      <c r="V37" s="792" t="str">
        <f t="shared" si="9"/>
        <v/>
      </c>
      <c r="W37" s="793" t="str">
        <f t="shared" si="15"/>
        <v/>
      </c>
      <c r="X37" s="794" t="str">
        <f t="shared" si="10"/>
        <v/>
      </c>
      <c r="Y37" s="794" t="str">
        <f t="shared" si="16"/>
        <v/>
      </c>
      <c r="Z37" s="816" t="str">
        <f t="shared" si="11"/>
        <v/>
      </c>
    </row>
    <row r="38" spans="1:26" ht="27" hidden="1" customHeight="1">
      <c r="A38" s="765"/>
      <c r="B38" s="766"/>
      <c r="C38" s="699"/>
      <c r="D38" s="699"/>
      <c r="E38" s="699"/>
      <c r="F38" s="804"/>
      <c r="I38" s="901" t="str">
        <f t="shared" si="7"/>
        <v/>
      </c>
      <c r="J38" s="787" t="str">
        <f t="shared" si="13"/>
        <v/>
      </c>
      <c r="K38" s="788" t="str">
        <f t="shared" si="0"/>
        <v/>
      </c>
      <c r="L38" s="277"/>
      <c r="M38" s="486"/>
      <c r="N38" s="733"/>
      <c r="O38" s="732"/>
      <c r="P38" s="637" t="str">
        <f t="shared" si="1"/>
        <v/>
      </c>
      <c r="Q38" s="789" t="str">
        <f t="shared" si="2"/>
        <v/>
      </c>
      <c r="R38" s="790" t="str">
        <f t="shared" si="14"/>
        <v/>
      </c>
      <c r="S38" s="799" t="str">
        <f t="shared" si="3"/>
        <v/>
      </c>
      <c r="T38" s="791"/>
      <c r="U38" s="799" t="str">
        <f t="shared" si="4"/>
        <v/>
      </c>
      <c r="V38" s="792" t="str">
        <f t="shared" si="9"/>
        <v/>
      </c>
      <c r="W38" s="793" t="str">
        <f t="shared" si="15"/>
        <v/>
      </c>
      <c r="X38" s="794" t="str">
        <f t="shared" si="10"/>
        <v/>
      </c>
      <c r="Y38" s="794" t="str">
        <f t="shared" si="16"/>
        <v/>
      </c>
      <c r="Z38" s="816" t="str">
        <f t="shared" si="11"/>
        <v/>
      </c>
    </row>
    <row r="39" spans="1:26" ht="27" hidden="1" customHeight="1">
      <c r="A39" s="765"/>
      <c r="B39" s="766"/>
      <c r="C39" s="699"/>
      <c r="D39" s="699"/>
      <c r="E39" s="699"/>
      <c r="F39" s="804"/>
      <c r="I39" s="901" t="str">
        <f t="shared" si="7"/>
        <v/>
      </c>
      <c r="J39" s="787" t="str">
        <f t="shared" si="13"/>
        <v/>
      </c>
      <c r="K39" s="788" t="str">
        <f t="shared" si="0"/>
        <v/>
      </c>
      <c r="L39" s="277"/>
      <c r="M39" s="486"/>
      <c r="N39" s="733"/>
      <c r="O39" s="732"/>
      <c r="P39" s="637" t="str">
        <f t="shared" si="1"/>
        <v/>
      </c>
      <c r="Q39" s="789" t="str">
        <f t="shared" si="2"/>
        <v/>
      </c>
      <c r="R39" s="790" t="str">
        <f t="shared" si="14"/>
        <v/>
      </c>
      <c r="S39" s="799" t="str">
        <f t="shared" si="3"/>
        <v/>
      </c>
      <c r="T39" s="791"/>
      <c r="U39" s="799" t="str">
        <f t="shared" si="4"/>
        <v/>
      </c>
      <c r="V39" s="792" t="str">
        <f t="shared" si="9"/>
        <v/>
      </c>
      <c r="W39" s="793" t="str">
        <f t="shared" si="15"/>
        <v/>
      </c>
      <c r="X39" s="794" t="str">
        <f t="shared" si="10"/>
        <v/>
      </c>
      <c r="Y39" s="794" t="str">
        <f t="shared" si="16"/>
        <v/>
      </c>
      <c r="Z39" s="816" t="str">
        <f t="shared" si="11"/>
        <v/>
      </c>
    </row>
    <row r="40" spans="1:26" ht="27" hidden="1" customHeight="1">
      <c r="A40" s="765"/>
      <c r="B40" s="766"/>
      <c r="C40" s="699"/>
      <c r="D40" s="699"/>
      <c r="E40" s="699"/>
      <c r="F40" s="804"/>
      <c r="I40" s="901" t="str">
        <f t="shared" si="7"/>
        <v/>
      </c>
      <c r="J40" s="787" t="str">
        <f t="shared" si="13"/>
        <v/>
      </c>
      <c r="K40" s="788" t="str">
        <f t="shared" ref="K40:K71" si="17">IF(M40="","",VLOOKUP(I40,product_list,2,FALSE))</f>
        <v/>
      </c>
      <c r="L40" s="277"/>
      <c r="M40" s="486"/>
      <c r="N40" s="733"/>
      <c r="O40" s="732"/>
      <c r="P40" s="637" t="str">
        <f t="shared" ref="P40:P71" si="18">IF(M40="","",VLOOKUP(I40,product_list,11,FALSE))</f>
        <v/>
      </c>
      <c r="Q40" s="789" t="str">
        <f t="shared" ref="Q40:Q71" si="19">IF(M40="","",quote_currency_symbol)</f>
        <v/>
      </c>
      <c r="R40" s="790" t="str">
        <f t="shared" ref="R40:R71" si="20">IFERROR(IF(M40="","",IF(quote_price_type_id="01",VLOOKUP(MID(M40,1,5),product_list,13,FALSE),IF(quote_price_type_id="02",VLOOKUP(MID(M40,1,5),product_list,14,FALSE),IF(quote_price_type_id="03",VLOOKUP(MID(M40,1,5),product_list,15,FALSE),IF(quote_price_type_id="04",VLOOKUP(MID(M40,1,5),product_list,16,FALSE),IF(quote_price_type_id="05",VLOOKUP(MID(M40,1,5),product_list,12,FALSE),"")))))),"")</f>
        <v/>
      </c>
      <c r="S40" s="799" t="str">
        <f t="shared" ref="S40:S71" si="21">IF(T40=0,"",quote_currency_symbol)</f>
        <v/>
      </c>
      <c r="T40" s="791"/>
      <c r="U40" s="799" t="str">
        <f t="shared" ref="U40:U71" si="22">IF(M40="","",quote_currency_symbol)</f>
        <v/>
      </c>
      <c r="V40" s="792" t="str">
        <f t="shared" si="9"/>
        <v/>
      </c>
      <c r="W40" s="793" t="str">
        <f t="shared" ref="W40:W71" si="23">IF(AND(M40="",ISNA(VLOOKUP(MID(M40,1,5),product_list,20,FALSE))),"",VLOOKUP(MID(M40,1,5),product_list,20,FALSE))</f>
        <v/>
      </c>
      <c r="X40" s="794" t="str">
        <f t="shared" si="10"/>
        <v/>
      </c>
      <c r="Y40" s="794" t="str">
        <f t="shared" ref="Y40:Y71" si="24">IF(M40="","",VLOOKUP(MID(M40,1,5),product_list,12,FALSE))</f>
        <v/>
      </c>
      <c r="Z40" s="816" t="str">
        <f t="shared" si="11"/>
        <v/>
      </c>
    </row>
    <row r="41" spans="1:26" ht="27" hidden="1" customHeight="1">
      <c r="A41" s="765"/>
      <c r="B41" s="766"/>
      <c r="C41" s="699"/>
      <c r="D41" s="699"/>
      <c r="E41" s="699"/>
      <c r="F41" s="804"/>
      <c r="I41" s="901" t="str">
        <f t="shared" si="7"/>
        <v/>
      </c>
      <c r="J41" s="787" t="str">
        <f t="shared" si="13"/>
        <v/>
      </c>
      <c r="K41" s="788" t="str">
        <f t="shared" si="17"/>
        <v/>
      </c>
      <c r="L41" s="277"/>
      <c r="M41" s="486"/>
      <c r="N41" s="733"/>
      <c r="O41" s="732"/>
      <c r="P41" s="637" t="str">
        <f t="shared" si="18"/>
        <v/>
      </c>
      <c r="Q41" s="789" t="str">
        <f t="shared" si="19"/>
        <v/>
      </c>
      <c r="R41" s="790" t="str">
        <f t="shared" si="20"/>
        <v/>
      </c>
      <c r="S41" s="799" t="str">
        <f t="shared" si="21"/>
        <v/>
      </c>
      <c r="T41" s="791"/>
      <c r="U41" s="799" t="str">
        <f t="shared" si="22"/>
        <v/>
      </c>
      <c r="V41" s="792" t="str">
        <f t="shared" si="9"/>
        <v/>
      </c>
      <c r="W41" s="793" t="str">
        <f t="shared" si="23"/>
        <v/>
      </c>
      <c r="X41" s="794" t="str">
        <f t="shared" si="10"/>
        <v/>
      </c>
      <c r="Y41" s="794" t="str">
        <f t="shared" si="24"/>
        <v/>
      </c>
      <c r="Z41" s="816" t="str">
        <f t="shared" si="11"/>
        <v/>
      </c>
    </row>
    <row r="42" spans="1:26" ht="27" hidden="1" customHeight="1">
      <c r="A42" s="765"/>
      <c r="B42" s="766"/>
      <c r="C42" s="699"/>
      <c r="D42" s="699"/>
      <c r="E42" s="699"/>
      <c r="F42" s="804"/>
      <c r="I42" s="901" t="str">
        <f t="shared" si="7"/>
        <v/>
      </c>
      <c r="J42" s="787" t="str">
        <f t="shared" si="13"/>
        <v/>
      </c>
      <c r="K42" s="788" t="str">
        <f t="shared" si="17"/>
        <v/>
      </c>
      <c r="L42" s="277"/>
      <c r="M42" s="486"/>
      <c r="N42" s="733"/>
      <c r="O42" s="732"/>
      <c r="P42" s="637" t="str">
        <f t="shared" si="18"/>
        <v/>
      </c>
      <c r="Q42" s="789" t="str">
        <f t="shared" si="19"/>
        <v/>
      </c>
      <c r="R42" s="790" t="str">
        <f t="shared" si="20"/>
        <v/>
      </c>
      <c r="S42" s="799" t="str">
        <f t="shared" si="21"/>
        <v/>
      </c>
      <c r="T42" s="791"/>
      <c r="U42" s="799" t="str">
        <f t="shared" si="22"/>
        <v/>
      </c>
      <c r="V42" s="792" t="str">
        <f t="shared" si="9"/>
        <v/>
      </c>
      <c r="W42" s="793" t="str">
        <f t="shared" si="23"/>
        <v/>
      </c>
      <c r="X42" s="794" t="str">
        <f t="shared" si="10"/>
        <v/>
      </c>
      <c r="Y42" s="794" t="str">
        <f t="shared" si="24"/>
        <v/>
      </c>
      <c r="Z42" s="816" t="str">
        <f t="shared" si="11"/>
        <v/>
      </c>
    </row>
    <row r="43" spans="1:26" ht="27" hidden="1" customHeight="1">
      <c r="A43" s="765"/>
      <c r="B43" s="766"/>
      <c r="C43" s="699"/>
      <c r="D43" s="699"/>
      <c r="E43" s="699"/>
      <c r="F43" s="804"/>
      <c r="I43" s="901" t="str">
        <f t="shared" si="7"/>
        <v/>
      </c>
      <c r="J43" s="787" t="str">
        <f t="shared" si="13"/>
        <v/>
      </c>
      <c r="K43" s="788" t="str">
        <f t="shared" si="17"/>
        <v/>
      </c>
      <c r="L43" s="277"/>
      <c r="M43" s="486"/>
      <c r="N43" s="733"/>
      <c r="O43" s="732"/>
      <c r="P43" s="637" t="str">
        <f t="shared" si="18"/>
        <v/>
      </c>
      <c r="Q43" s="789" t="str">
        <f t="shared" si="19"/>
        <v/>
      </c>
      <c r="R43" s="790" t="str">
        <f t="shared" si="20"/>
        <v/>
      </c>
      <c r="S43" s="799" t="str">
        <f t="shared" si="21"/>
        <v/>
      </c>
      <c r="T43" s="791"/>
      <c r="U43" s="799" t="str">
        <f t="shared" si="22"/>
        <v/>
      </c>
      <c r="V43" s="792" t="str">
        <f t="shared" si="9"/>
        <v/>
      </c>
      <c r="W43" s="793" t="str">
        <f t="shared" si="23"/>
        <v/>
      </c>
      <c r="X43" s="794" t="str">
        <f t="shared" si="10"/>
        <v/>
      </c>
      <c r="Y43" s="794" t="str">
        <f t="shared" si="24"/>
        <v/>
      </c>
      <c r="Z43" s="816" t="str">
        <f t="shared" si="11"/>
        <v/>
      </c>
    </row>
    <row r="44" spans="1:26" ht="27" hidden="1" customHeight="1">
      <c r="A44" s="765"/>
      <c r="B44" s="766"/>
      <c r="C44" s="699"/>
      <c r="D44" s="699"/>
      <c r="E44" s="699"/>
      <c r="F44" s="804"/>
      <c r="I44" s="901" t="str">
        <f t="shared" si="7"/>
        <v/>
      </c>
      <c r="J44" s="787" t="str">
        <f t="shared" si="13"/>
        <v/>
      </c>
      <c r="K44" s="788" t="str">
        <f t="shared" si="17"/>
        <v/>
      </c>
      <c r="L44" s="277"/>
      <c r="M44" s="486"/>
      <c r="N44" s="733"/>
      <c r="O44" s="732"/>
      <c r="P44" s="637" t="str">
        <f t="shared" si="18"/>
        <v/>
      </c>
      <c r="Q44" s="789" t="str">
        <f t="shared" si="19"/>
        <v/>
      </c>
      <c r="R44" s="790" t="str">
        <f t="shared" si="20"/>
        <v/>
      </c>
      <c r="S44" s="799" t="str">
        <f t="shared" si="21"/>
        <v/>
      </c>
      <c r="T44" s="791"/>
      <c r="U44" s="799" t="str">
        <f t="shared" si="22"/>
        <v/>
      </c>
      <c r="V44" s="792" t="str">
        <f t="shared" si="9"/>
        <v/>
      </c>
      <c r="W44" s="793" t="str">
        <f t="shared" si="23"/>
        <v/>
      </c>
      <c r="X44" s="794" t="str">
        <f t="shared" si="10"/>
        <v/>
      </c>
      <c r="Y44" s="794" t="str">
        <f t="shared" si="24"/>
        <v/>
      </c>
      <c r="Z44" s="816" t="str">
        <f t="shared" si="11"/>
        <v/>
      </c>
    </row>
    <row r="45" spans="1:26" ht="27" hidden="1" customHeight="1">
      <c r="A45" s="765"/>
      <c r="B45" s="766"/>
      <c r="C45" s="699"/>
      <c r="D45" s="699"/>
      <c r="E45" s="699"/>
      <c r="F45" s="804"/>
      <c r="I45" s="901" t="str">
        <f t="shared" si="7"/>
        <v/>
      </c>
      <c r="J45" s="787" t="str">
        <f t="shared" si="13"/>
        <v/>
      </c>
      <c r="K45" s="788" t="str">
        <f t="shared" si="17"/>
        <v/>
      </c>
      <c r="L45" s="277"/>
      <c r="M45" s="486"/>
      <c r="N45" s="733"/>
      <c r="O45" s="732"/>
      <c r="P45" s="637" t="str">
        <f t="shared" si="18"/>
        <v/>
      </c>
      <c r="Q45" s="789" t="str">
        <f t="shared" si="19"/>
        <v/>
      </c>
      <c r="R45" s="790" t="str">
        <f t="shared" si="20"/>
        <v/>
      </c>
      <c r="S45" s="799" t="str">
        <f t="shared" si="21"/>
        <v/>
      </c>
      <c r="T45" s="791"/>
      <c r="U45" s="799" t="str">
        <f t="shared" si="22"/>
        <v/>
      </c>
      <c r="V45" s="792" t="str">
        <f t="shared" si="9"/>
        <v/>
      </c>
      <c r="W45" s="793" t="str">
        <f t="shared" si="23"/>
        <v/>
      </c>
      <c r="X45" s="794" t="str">
        <f t="shared" si="10"/>
        <v/>
      </c>
      <c r="Y45" s="794" t="str">
        <f t="shared" si="24"/>
        <v/>
      </c>
      <c r="Z45" s="816" t="str">
        <f t="shared" si="11"/>
        <v/>
      </c>
    </row>
    <row r="46" spans="1:26" ht="27" hidden="1" customHeight="1">
      <c r="A46" s="765"/>
      <c r="B46" s="766"/>
      <c r="C46" s="699"/>
      <c r="D46" s="699"/>
      <c r="E46" s="699"/>
      <c r="F46" s="804"/>
      <c r="I46" s="901" t="str">
        <f t="shared" si="7"/>
        <v/>
      </c>
      <c r="J46" s="787" t="str">
        <f t="shared" si="13"/>
        <v/>
      </c>
      <c r="K46" s="788" t="str">
        <f t="shared" si="17"/>
        <v/>
      </c>
      <c r="L46" s="277"/>
      <c r="M46" s="486"/>
      <c r="N46" s="733"/>
      <c r="O46" s="732"/>
      <c r="P46" s="637" t="str">
        <f t="shared" si="18"/>
        <v/>
      </c>
      <c r="Q46" s="789" t="str">
        <f t="shared" si="19"/>
        <v/>
      </c>
      <c r="R46" s="790" t="str">
        <f t="shared" si="20"/>
        <v/>
      </c>
      <c r="S46" s="799" t="str">
        <f t="shared" si="21"/>
        <v/>
      </c>
      <c r="T46" s="791"/>
      <c r="U46" s="799" t="str">
        <f t="shared" si="22"/>
        <v/>
      </c>
      <c r="V46" s="792" t="str">
        <f t="shared" si="9"/>
        <v/>
      </c>
      <c r="W46" s="793" t="str">
        <f t="shared" si="23"/>
        <v/>
      </c>
      <c r="X46" s="794" t="str">
        <f t="shared" si="10"/>
        <v/>
      </c>
      <c r="Y46" s="794" t="str">
        <f t="shared" si="24"/>
        <v/>
      </c>
      <c r="Z46" s="816" t="str">
        <f t="shared" si="11"/>
        <v/>
      </c>
    </row>
    <row r="47" spans="1:26" ht="27" hidden="1" customHeight="1">
      <c r="A47" s="765"/>
      <c r="B47" s="766"/>
      <c r="C47" s="699"/>
      <c r="D47" s="699"/>
      <c r="E47" s="699"/>
      <c r="F47" s="804"/>
      <c r="I47" s="901" t="str">
        <f t="shared" si="7"/>
        <v/>
      </c>
      <c r="J47" s="787" t="str">
        <f t="shared" si="13"/>
        <v/>
      </c>
      <c r="K47" s="788" t="str">
        <f t="shared" si="17"/>
        <v/>
      </c>
      <c r="L47" s="277"/>
      <c r="M47" s="486"/>
      <c r="N47" s="733"/>
      <c r="O47" s="732"/>
      <c r="P47" s="637" t="str">
        <f t="shared" si="18"/>
        <v/>
      </c>
      <c r="Q47" s="789" t="str">
        <f t="shared" si="19"/>
        <v/>
      </c>
      <c r="R47" s="790" t="str">
        <f t="shared" si="20"/>
        <v/>
      </c>
      <c r="S47" s="799" t="str">
        <f t="shared" si="21"/>
        <v/>
      </c>
      <c r="T47" s="791"/>
      <c r="U47" s="799" t="str">
        <f t="shared" si="22"/>
        <v/>
      </c>
      <c r="V47" s="792" t="str">
        <f t="shared" si="9"/>
        <v/>
      </c>
      <c r="W47" s="793" t="str">
        <f t="shared" si="23"/>
        <v/>
      </c>
      <c r="X47" s="794" t="str">
        <f t="shared" si="10"/>
        <v/>
      </c>
      <c r="Y47" s="794" t="str">
        <f t="shared" si="24"/>
        <v/>
      </c>
      <c r="Z47" s="816" t="str">
        <f t="shared" si="11"/>
        <v/>
      </c>
    </row>
    <row r="48" spans="1:26" ht="27" hidden="1" customHeight="1">
      <c r="A48" s="765"/>
      <c r="B48" s="766"/>
      <c r="C48" s="699"/>
      <c r="D48" s="699"/>
      <c r="E48" s="699"/>
      <c r="F48" s="804"/>
      <c r="I48" s="901" t="str">
        <f t="shared" si="7"/>
        <v/>
      </c>
      <c r="J48" s="787" t="str">
        <f t="shared" si="13"/>
        <v/>
      </c>
      <c r="K48" s="788" t="str">
        <f t="shared" si="17"/>
        <v/>
      </c>
      <c r="L48" s="277"/>
      <c r="M48" s="486"/>
      <c r="N48" s="733"/>
      <c r="O48" s="732"/>
      <c r="P48" s="637" t="str">
        <f t="shared" si="18"/>
        <v/>
      </c>
      <c r="Q48" s="789" t="str">
        <f t="shared" si="19"/>
        <v/>
      </c>
      <c r="R48" s="790" t="str">
        <f t="shared" si="20"/>
        <v/>
      </c>
      <c r="S48" s="799" t="str">
        <f t="shared" si="21"/>
        <v/>
      </c>
      <c r="T48" s="791"/>
      <c r="U48" s="799" t="str">
        <f t="shared" si="22"/>
        <v/>
      </c>
      <c r="V48" s="792" t="str">
        <f t="shared" si="9"/>
        <v/>
      </c>
      <c r="W48" s="793" t="str">
        <f t="shared" si="23"/>
        <v/>
      </c>
      <c r="X48" s="794" t="str">
        <f t="shared" si="10"/>
        <v/>
      </c>
      <c r="Y48" s="794" t="str">
        <f t="shared" si="24"/>
        <v/>
      </c>
      <c r="Z48" s="816" t="str">
        <f t="shared" si="11"/>
        <v/>
      </c>
    </row>
    <row r="49" spans="1:26" ht="27" hidden="1" customHeight="1">
      <c r="A49" s="765"/>
      <c r="B49" s="766"/>
      <c r="C49" s="699"/>
      <c r="D49" s="699"/>
      <c r="E49" s="699"/>
      <c r="F49" s="804"/>
      <c r="I49" s="901" t="str">
        <f t="shared" si="7"/>
        <v/>
      </c>
      <c r="J49" s="787" t="str">
        <f t="shared" si="13"/>
        <v/>
      </c>
      <c r="K49" s="788" t="str">
        <f t="shared" si="17"/>
        <v/>
      </c>
      <c r="L49" s="277"/>
      <c r="M49" s="486"/>
      <c r="N49" s="733"/>
      <c r="O49" s="732"/>
      <c r="P49" s="637" t="str">
        <f t="shared" si="18"/>
        <v/>
      </c>
      <c r="Q49" s="789" t="str">
        <f t="shared" si="19"/>
        <v/>
      </c>
      <c r="R49" s="790" t="str">
        <f t="shared" si="20"/>
        <v/>
      </c>
      <c r="S49" s="799" t="str">
        <f t="shared" si="21"/>
        <v/>
      </c>
      <c r="T49" s="791"/>
      <c r="U49" s="799" t="str">
        <f t="shared" si="22"/>
        <v/>
      </c>
      <c r="V49" s="792" t="str">
        <f t="shared" si="9"/>
        <v/>
      </c>
      <c r="W49" s="793" t="str">
        <f t="shared" si="23"/>
        <v/>
      </c>
      <c r="X49" s="794" t="str">
        <f t="shared" si="10"/>
        <v/>
      </c>
      <c r="Y49" s="794" t="str">
        <f t="shared" si="24"/>
        <v/>
      </c>
      <c r="Z49" s="816" t="str">
        <f t="shared" si="11"/>
        <v/>
      </c>
    </row>
    <row r="50" spans="1:26" ht="27" hidden="1" customHeight="1">
      <c r="A50" s="765"/>
      <c r="B50" s="766"/>
      <c r="C50" s="699"/>
      <c r="D50" s="699"/>
      <c r="E50" s="699"/>
      <c r="F50" s="804"/>
      <c r="I50" s="901" t="str">
        <f t="shared" si="7"/>
        <v/>
      </c>
      <c r="J50" s="787" t="str">
        <f t="shared" si="13"/>
        <v/>
      </c>
      <c r="K50" s="788" t="str">
        <f t="shared" si="17"/>
        <v/>
      </c>
      <c r="L50" s="277"/>
      <c r="M50" s="486"/>
      <c r="N50" s="733"/>
      <c r="O50" s="732"/>
      <c r="P50" s="637" t="str">
        <f t="shared" si="18"/>
        <v/>
      </c>
      <c r="Q50" s="789" t="str">
        <f t="shared" si="19"/>
        <v/>
      </c>
      <c r="R50" s="790" t="str">
        <f t="shared" si="20"/>
        <v/>
      </c>
      <c r="S50" s="799" t="str">
        <f t="shared" si="21"/>
        <v/>
      </c>
      <c r="T50" s="791"/>
      <c r="U50" s="799" t="str">
        <f t="shared" si="22"/>
        <v/>
      </c>
      <c r="V50" s="792" t="str">
        <f t="shared" si="9"/>
        <v/>
      </c>
      <c r="W50" s="793" t="str">
        <f t="shared" si="23"/>
        <v/>
      </c>
      <c r="X50" s="794" t="str">
        <f t="shared" si="10"/>
        <v/>
      </c>
      <c r="Y50" s="794" t="str">
        <f t="shared" si="24"/>
        <v/>
      </c>
      <c r="Z50" s="816" t="str">
        <f t="shared" si="11"/>
        <v/>
      </c>
    </row>
    <row r="51" spans="1:26" ht="27" hidden="1" customHeight="1">
      <c r="A51" s="765"/>
      <c r="B51" s="766"/>
      <c r="C51" s="699"/>
      <c r="D51" s="699"/>
      <c r="E51" s="699"/>
      <c r="F51" s="804"/>
      <c r="I51" s="901" t="str">
        <f t="shared" si="7"/>
        <v/>
      </c>
      <c r="J51" s="787" t="str">
        <f t="shared" si="13"/>
        <v/>
      </c>
      <c r="K51" s="788" t="str">
        <f t="shared" si="17"/>
        <v/>
      </c>
      <c r="L51" s="277"/>
      <c r="M51" s="486"/>
      <c r="N51" s="733"/>
      <c r="O51" s="732"/>
      <c r="P51" s="637" t="str">
        <f t="shared" si="18"/>
        <v/>
      </c>
      <c r="Q51" s="789" t="str">
        <f t="shared" si="19"/>
        <v/>
      </c>
      <c r="R51" s="790" t="str">
        <f t="shared" si="20"/>
        <v/>
      </c>
      <c r="S51" s="799" t="str">
        <f t="shared" si="21"/>
        <v/>
      </c>
      <c r="T51" s="791"/>
      <c r="U51" s="799" t="str">
        <f t="shared" si="22"/>
        <v/>
      </c>
      <c r="V51" s="792" t="str">
        <f t="shared" si="9"/>
        <v/>
      </c>
      <c r="W51" s="793" t="str">
        <f t="shared" si="23"/>
        <v/>
      </c>
      <c r="X51" s="794" t="str">
        <f t="shared" si="10"/>
        <v/>
      </c>
      <c r="Y51" s="794" t="str">
        <f t="shared" si="24"/>
        <v/>
      </c>
      <c r="Z51" s="816" t="str">
        <f t="shared" si="11"/>
        <v/>
      </c>
    </row>
    <row r="52" spans="1:26" ht="27" hidden="1" customHeight="1">
      <c r="A52" s="765"/>
      <c r="B52" s="766"/>
      <c r="C52" s="699"/>
      <c r="D52" s="699"/>
      <c r="E52" s="699"/>
      <c r="F52" s="804"/>
      <c r="I52" s="901" t="str">
        <f t="shared" si="7"/>
        <v/>
      </c>
      <c r="J52" s="787" t="str">
        <f t="shared" si="13"/>
        <v/>
      </c>
      <c r="K52" s="788" t="str">
        <f t="shared" si="17"/>
        <v/>
      </c>
      <c r="L52" s="277"/>
      <c r="M52" s="486"/>
      <c r="N52" s="733"/>
      <c r="O52" s="732"/>
      <c r="P52" s="637" t="str">
        <f t="shared" si="18"/>
        <v/>
      </c>
      <c r="Q52" s="789" t="str">
        <f t="shared" si="19"/>
        <v/>
      </c>
      <c r="R52" s="790" t="str">
        <f t="shared" si="20"/>
        <v/>
      </c>
      <c r="S52" s="799" t="str">
        <f t="shared" si="21"/>
        <v/>
      </c>
      <c r="T52" s="791"/>
      <c r="U52" s="799" t="str">
        <f t="shared" si="22"/>
        <v/>
      </c>
      <c r="V52" s="792" t="str">
        <f t="shared" si="9"/>
        <v/>
      </c>
      <c r="W52" s="793" t="str">
        <f t="shared" si="23"/>
        <v/>
      </c>
      <c r="X52" s="794" t="str">
        <f t="shared" si="10"/>
        <v/>
      </c>
      <c r="Y52" s="794" t="str">
        <f t="shared" si="24"/>
        <v/>
      </c>
      <c r="Z52" s="816" t="str">
        <f t="shared" si="11"/>
        <v/>
      </c>
    </row>
    <row r="53" spans="1:26" ht="27" hidden="1" customHeight="1">
      <c r="A53" s="765"/>
      <c r="B53" s="795"/>
      <c r="C53" s="699"/>
      <c r="D53" s="699"/>
      <c r="E53" s="699"/>
      <c r="F53" s="807"/>
      <c r="G53" s="213"/>
      <c r="H53" s="906"/>
      <c r="I53" s="901" t="str">
        <f t="shared" si="7"/>
        <v/>
      </c>
      <c r="J53" s="787" t="str">
        <f t="shared" si="13"/>
        <v/>
      </c>
      <c r="K53" s="788" t="str">
        <f t="shared" si="17"/>
        <v/>
      </c>
      <c r="L53" s="277"/>
      <c r="M53" s="486"/>
      <c r="N53" s="733"/>
      <c r="O53" s="732"/>
      <c r="P53" s="637" t="str">
        <f t="shared" si="18"/>
        <v/>
      </c>
      <c r="Q53" s="789" t="str">
        <f t="shared" si="19"/>
        <v/>
      </c>
      <c r="R53" s="790" t="str">
        <f t="shared" si="20"/>
        <v/>
      </c>
      <c r="S53" s="799" t="str">
        <f t="shared" si="21"/>
        <v/>
      </c>
      <c r="T53" s="791"/>
      <c r="U53" s="799" t="str">
        <f t="shared" si="22"/>
        <v/>
      </c>
      <c r="V53" s="792" t="str">
        <f t="shared" si="9"/>
        <v/>
      </c>
      <c r="W53" s="793" t="str">
        <f t="shared" si="23"/>
        <v/>
      </c>
      <c r="X53" s="794" t="str">
        <f t="shared" si="10"/>
        <v/>
      </c>
      <c r="Y53" s="794" t="str">
        <f t="shared" si="24"/>
        <v/>
      </c>
      <c r="Z53" s="816" t="str">
        <f t="shared" si="11"/>
        <v/>
      </c>
    </row>
    <row r="54" spans="1:26" ht="27" hidden="1" customHeight="1">
      <c r="A54" s="765"/>
      <c r="B54" s="795"/>
      <c r="C54" s="699"/>
      <c r="D54" s="699"/>
      <c r="E54" s="699"/>
      <c r="F54" s="807"/>
      <c r="G54" s="213"/>
      <c r="H54" s="906"/>
      <c r="I54" s="901" t="str">
        <f t="shared" si="7"/>
        <v/>
      </c>
      <c r="J54" s="787" t="str">
        <f t="shared" si="13"/>
        <v/>
      </c>
      <c r="K54" s="788" t="str">
        <f t="shared" si="17"/>
        <v/>
      </c>
      <c r="L54" s="277"/>
      <c r="M54" s="486"/>
      <c r="N54" s="733"/>
      <c r="O54" s="732"/>
      <c r="P54" s="637" t="str">
        <f t="shared" si="18"/>
        <v/>
      </c>
      <c r="Q54" s="789" t="str">
        <f t="shared" si="19"/>
        <v/>
      </c>
      <c r="R54" s="790" t="str">
        <f t="shared" si="20"/>
        <v/>
      </c>
      <c r="S54" s="799" t="str">
        <f t="shared" si="21"/>
        <v/>
      </c>
      <c r="T54" s="791"/>
      <c r="U54" s="799" t="str">
        <f t="shared" si="22"/>
        <v/>
      </c>
      <c r="V54" s="792" t="str">
        <f t="shared" si="9"/>
        <v/>
      </c>
      <c r="W54" s="793" t="str">
        <f t="shared" si="23"/>
        <v/>
      </c>
      <c r="X54" s="794" t="str">
        <f t="shared" si="10"/>
        <v/>
      </c>
      <c r="Y54" s="794" t="str">
        <f t="shared" si="24"/>
        <v/>
      </c>
      <c r="Z54" s="816" t="str">
        <f t="shared" si="11"/>
        <v/>
      </c>
    </row>
    <row r="55" spans="1:26" ht="27" hidden="1" customHeight="1">
      <c r="A55" s="765"/>
      <c r="B55" s="795"/>
      <c r="C55" s="699"/>
      <c r="D55" s="699"/>
      <c r="E55" s="699"/>
      <c r="F55" s="807"/>
      <c r="G55" s="213"/>
      <c r="H55" s="906"/>
      <c r="I55" s="901" t="str">
        <f t="shared" si="7"/>
        <v/>
      </c>
      <c r="J55" s="787" t="str">
        <f t="shared" si="13"/>
        <v/>
      </c>
      <c r="K55" s="788" t="str">
        <f t="shared" si="17"/>
        <v/>
      </c>
      <c r="L55" s="277"/>
      <c r="M55" s="486"/>
      <c r="N55" s="733"/>
      <c r="O55" s="732"/>
      <c r="P55" s="637" t="str">
        <f t="shared" si="18"/>
        <v/>
      </c>
      <c r="Q55" s="789" t="str">
        <f t="shared" si="19"/>
        <v/>
      </c>
      <c r="R55" s="790" t="str">
        <f t="shared" si="20"/>
        <v/>
      </c>
      <c r="S55" s="799" t="str">
        <f t="shared" si="21"/>
        <v/>
      </c>
      <c r="T55" s="791"/>
      <c r="U55" s="799" t="str">
        <f t="shared" si="22"/>
        <v/>
      </c>
      <c r="V55" s="792" t="str">
        <f t="shared" si="9"/>
        <v/>
      </c>
      <c r="W55" s="793" t="str">
        <f t="shared" si="23"/>
        <v/>
      </c>
      <c r="X55" s="794" t="str">
        <f t="shared" si="10"/>
        <v/>
      </c>
      <c r="Y55" s="794" t="str">
        <f t="shared" si="24"/>
        <v/>
      </c>
      <c r="Z55" s="816" t="str">
        <f t="shared" si="11"/>
        <v/>
      </c>
    </row>
    <row r="56" spans="1:26" ht="27" hidden="1" customHeight="1">
      <c r="A56" s="765"/>
      <c r="B56" s="795"/>
      <c r="C56" s="699"/>
      <c r="D56" s="699"/>
      <c r="E56" s="699"/>
      <c r="F56" s="807"/>
      <c r="G56" s="213"/>
      <c r="H56" s="906"/>
      <c r="I56" s="901" t="str">
        <f t="shared" si="7"/>
        <v/>
      </c>
      <c r="J56" s="787" t="str">
        <f t="shared" si="13"/>
        <v/>
      </c>
      <c r="K56" s="788" t="str">
        <f t="shared" si="17"/>
        <v/>
      </c>
      <c r="L56" s="277"/>
      <c r="M56" s="486"/>
      <c r="N56" s="733"/>
      <c r="O56" s="732"/>
      <c r="P56" s="637" t="str">
        <f t="shared" si="18"/>
        <v/>
      </c>
      <c r="Q56" s="789" t="str">
        <f t="shared" si="19"/>
        <v/>
      </c>
      <c r="R56" s="790" t="str">
        <f t="shared" si="20"/>
        <v/>
      </c>
      <c r="S56" s="799" t="str">
        <f t="shared" si="21"/>
        <v/>
      </c>
      <c r="T56" s="791"/>
      <c r="U56" s="799" t="str">
        <f t="shared" si="22"/>
        <v/>
      </c>
      <c r="V56" s="792" t="str">
        <f t="shared" si="9"/>
        <v/>
      </c>
      <c r="W56" s="793" t="str">
        <f t="shared" si="23"/>
        <v/>
      </c>
      <c r="X56" s="794" t="str">
        <f t="shared" si="10"/>
        <v/>
      </c>
      <c r="Y56" s="794" t="str">
        <f t="shared" si="24"/>
        <v/>
      </c>
      <c r="Z56" s="816" t="str">
        <f t="shared" si="11"/>
        <v/>
      </c>
    </row>
    <row r="57" spans="1:26" ht="27" hidden="1" customHeight="1">
      <c r="A57" s="765"/>
      <c r="B57" s="795"/>
      <c r="C57" s="699"/>
      <c r="D57" s="699"/>
      <c r="E57" s="699"/>
      <c r="F57" s="807"/>
      <c r="G57" s="213"/>
      <c r="H57" s="906"/>
      <c r="I57" s="901" t="str">
        <f t="shared" si="7"/>
        <v/>
      </c>
      <c r="J57" s="787" t="str">
        <f t="shared" si="13"/>
        <v/>
      </c>
      <c r="K57" s="788" t="str">
        <f t="shared" si="17"/>
        <v/>
      </c>
      <c r="L57" s="277"/>
      <c r="M57" s="486"/>
      <c r="N57" s="733"/>
      <c r="O57" s="732"/>
      <c r="P57" s="637" t="str">
        <f t="shared" si="18"/>
        <v/>
      </c>
      <c r="Q57" s="789" t="str">
        <f t="shared" si="19"/>
        <v/>
      </c>
      <c r="R57" s="790" t="str">
        <f t="shared" si="20"/>
        <v/>
      </c>
      <c r="S57" s="799" t="str">
        <f t="shared" si="21"/>
        <v/>
      </c>
      <c r="T57" s="791"/>
      <c r="U57" s="799" t="str">
        <f t="shared" si="22"/>
        <v/>
      </c>
      <c r="V57" s="792" t="str">
        <f t="shared" si="9"/>
        <v/>
      </c>
      <c r="W57" s="793" t="str">
        <f t="shared" si="23"/>
        <v/>
      </c>
      <c r="X57" s="794" t="str">
        <f t="shared" si="10"/>
        <v/>
      </c>
      <c r="Y57" s="794" t="str">
        <f t="shared" si="24"/>
        <v/>
      </c>
      <c r="Z57" s="816" t="str">
        <f t="shared" si="11"/>
        <v/>
      </c>
    </row>
    <row r="58" spans="1:26" ht="27" hidden="1" customHeight="1">
      <c r="A58" s="765"/>
      <c r="B58" s="795"/>
      <c r="C58" s="699"/>
      <c r="D58" s="699"/>
      <c r="E58" s="699"/>
      <c r="F58" s="807"/>
      <c r="G58" s="213"/>
      <c r="H58" s="906"/>
      <c r="I58" s="901" t="str">
        <f t="shared" si="7"/>
        <v/>
      </c>
      <c r="J58" s="787" t="str">
        <f t="shared" si="13"/>
        <v/>
      </c>
      <c r="K58" s="788" t="str">
        <f t="shared" si="17"/>
        <v/>
      </c>
      <c r="L58" s="277"/>
      <c r="M58" s="486"/>
      <c r="N58" s="733"/>
      <c r="O58" s="732"/>
      <c r="P58" s="637" t="str">
        <f t="shared" si="18"/>
        <v/>
      </c>
      <c r="Q58" s="789" t="str">
        <f t="shared" si="19"/>
        <v/>
      </c>
      <c r="R58" s="790" t="str">
        <f t="shared" si="20"/>
        <v/>
      </c>
      <c r="S58" s="799" t="str">
        <f t="shared" si="21"/>
        <v/>
      </c>
      <c r="T58" s="791"/>
      <c r="U58" s="799" t="str">
        <f t="shared" si="22"/>
        <v/>
      </c>
      <c r="V58" s="792" t="str">
        <f t="shared" si="9"/>
        <v/>
      </c>
      <c r="W58" s="793" t="str">
        <f t="shared" si="23"/>
        <v/>
      </c>
      <c r="X58" s="794" t="str">
        <f t="shared" si="10"/>
        <v/>
      </c>
      <c r="Y58" s="794" t="str">
        <f t="shared" si="24"/>
        <v/>
      </c>
      <c r="Z58" s="816" t="str">
        <f t="shared" si="11"/>
        <v/>
      </c>
    </row>
    <row r="59" spans="1:26" ht="27" hidden="1" customHeight="1">
      <c r="A59" s="765"/>
      <c r="B59" s="795"/>
      <c r="C59" s="699"/>
      <c r="D59" s="699"/>
      <c r="E59" s="699"/>
      <c r="F59" s="807"/>
      <c r="G59" s="213"/>
      <c r="H59" s="906"/>
      <c r="I59" s="901" t="str">
        <f t="shared" si="7"/>
        <v/>
      </c>
      <c r="J59" s="787" t="str">
        <f t="shared" si="13"/>
        <v/>
      </c>
      <c r="K59" s="788" t="str">
        <f t="shared" si="17"/>
        <v/>
      </c>
      <c r="L59" s="277"/>
      <c r="M59" s="486"/>
      <c r="N59" s="733"/>
      <c r="O59" s="732"/>
      <c r="P59" s="637" t="str">
        <f t="shared" si="18"/>
        <v/>
      </c>
      <c r="Q59" s="789" t="str">
        <f t="shared" si="19"/>
        <v/>
      </c>
      <c r="R59" s="790" t="str">
        <f t="shared" si="20"/>
        <v/>
      </c>
      <c r="S59" s="799" t="str">
        <f t="shared" si="21"/>
        <v/>
      </c>
      <c r="T59" s="791"/>
      <c r="U59" s="799" t="str">
        <f t="shared" si="22"/>
        <v/>
      </c>
      <c r="V59" s="792" t="str">
        <f t="shared" si="9"/>
        <v/>
      </c>
      <c r="W59" s="793" t="str">
        <f t="shared" si="23"/>
        <v/>
      </c>
      <c r="X59" s="794" t="str">
        <f t="shared" si="10"/>
        <v/>
      </c>
      <c r="Y59" s="794" t="str">
        <f t="shared" si="24"/>
        <v/>
      </c>
      <c r="Z59" s="816" t="str">
        <f t="shared" si="11"/>
        <v/>
      </c>
    </row>
    <row r="60" spans="1:26" ht="27" hidden="1" customHeight="1">
      <c r="A60" s="765"/>
      <c r="B60" s="795"/>
      <c r="C60" s="699"/>
      <c r="D60" s="699"/>
      <c r="E60" s="699"/>
      <c r="F60" s="807"/>
      <c r="G60" s="213"/>
      <c r="H60" s="906"/>
      <c r="I60" s="901" t="str">
        <f t="shared" si="7"/>
        <v/>
      </c>
      <c r="J60" s="787" t="str">
        <f t="shared" si="13"/>
        <v/>
      </c>
      <c r="K60" s="788" t="str">
        <f t="shared" si="17"/>
        <v/>
      </c>
      <c r="L60" s="277"/>
      <c r="M60" s="486"/>
      <c r="N60" s="733"/>
      <c r="O60" s="732"/>
      <c r="P60" s="637" t="str">
        <f t="shared" si="18"/>
        <v/>
      </c>
      <c r="Q60" s="789" t="str">
        <f t="shared" si="19"/>
        <v/>
      </c>
      <c r="R60" s="790" t="str">
        <f t="shared" si="20"/>
        <v/>
      </c>
      <c r="S60" s="799" t="str">
        <f t="shared" si="21"/>
        <v/>
      </c>
      <c r="T60" s="791"/>
      <c r="U60" s="799" t="str">
        <f t="shared" si="22"/>
        <v/>
      </c>
      <c r="V60" s="792" t="str">
        <f t="shared" si="9"/>
        <v/>
      </c>
      <c r="W60" s="793" t="str">
        <f t="shared" si="23"/>
        <v/>
      </c>
      <c r="X60" s="794" t="str">
        <f t="shared" si="10"/>
        <v/>
      </c>
      <c r="Y60" s="794" t="str">
        <f t="shared" si="24"/>
        <v/>
      </c>
      <c r="Z60" s="816" t="str">
        <f t="shared" si="11"/>
        <v/>
      </c>
    </row>
    <row r="61" spans="1:26" ht="27" hidden="1" customHeight="1">
      <c r="A61" s="765"/>
      <c r="B61" s="795"/>
      <c r="C61" s="699"/>
      <c r="D61" s="699"/>
      <c r="E61" s="699"/>
      <c r="F61" s="807"/>
      <c r="G61" s="213"/>
      <c r="H61" s="906"/>
      <c r="I61" s="901" t="str">
        <f t="shared" si="7"/>
        <v/>
      </c>
      <c r="J61" s="787" t="str">
        <f t="shared" si="13"/>
        <v/>
      </c>
      <c r="K61" s="788" t="str">
        <f t="shared" si="17"/>
        <v/>
      </c>
      <c r="L61" s="277"/>
      <c r="M61" s="486"/>
      <c r="N61" s="733"/>
      <c r="O61" s="732"/>
      <c r="P61" s="637" t="str">
        <f t="shared" si="18"/>
        <v/>
      </c>
      <c r="Q61" s="789" t="str">
        <f t="shared" si="19"/>
        <v/>
      </c>
      <c r="R61" s="790" t="str">
        <f t="shared" si="20"/>
        <v/>
      </c>
      <c r="S61" s="799" t="str">
        <f t="shared" si="21"/>
        <v/>
      </c>
      <c r="T61" s="791"/>
      <c r="U61" s="799" t="str">
        <f t="shared" si="22"/>
        <v/>
      </c>
      <c r="V61" s="792" t="str">
        <f t="shared" si="9"/>
        <v/>
      </c>
      <c r="W61" s="793" t="str">
        <f t="shared" si="23"/>
        <v/>
      </c>
      <c r="X61" s="794" t="str">
        <f t="shared" si="10"/>
        <v/>
      </c>
      <c r="Y61" s="794" t="str">
        <f t="shared" si="24"/>
        <v/>
      </c>
      <c r="Z61" s="816" t="str">
        <f t="shared" si="11"/>
        <v/>
      </c>
    </row>
    <row r="62" spans="1:26" ht="27" hidden="1" customHeight="1">
      <c r="A62" s="765"/>
      <c r="B62" s="795"/>
      <c r="C62" s="699"/>
      <c r="D62" s="699"/>
      <c r="E62" s="699"/>
      <c r="F62" s="807"/>
      <c r="G62" s="213"/>
      <c r="H62" s="906"/>
      <c r="I62" s="901" t="str">
        <f t="shared" si="7"/>
        <v/>
      </c>
      <c r="J62" s="787" t="str">
        <f t="shared" si="13"/>
        <v/>
      </c>
      <c r="K62" s="788" t="str">
        <f t="shared" si="17"/>
        <v/>
      </c>
      <c r="L62" s="277"/>
      <c r="M62" s="486"/>
      <c r="N62" s="733"/>
      <c r="O62" s="732"/>
      <c r="P62" s="637" t="str">
        <f t="shared" si="18"/>
        <v/>
      </c>
      <c r="Q62" s="789" t="str">
        <f t="shared" si="19"/>
        <v/>
      </c>
      <c r="R62" s="790" t="str">
        <f t="shared" si="20"/>
        <v/>
      </c>
      <c r="S62" s="799" t="str">
        <f t="shared" si="21"/>
        <v/>
      </c>
      <c r="T62" s="791"/>
      <c r="U62" s="799" t="str">
        <f t="shared" si="22"/>
        <v/>
      </c>
      <c r="V62" s="792" t="str">
        <f t="shared" si="9"/>
        <v/>
      </c>
      <c r="W62" s="793" t="str">
        <f t="shared" si="23"/>
        <v/>
      </c>
      <c r="X62" s="794" t="str">
        <f t="shared" si="10"/>
        <v/>
      </c>
      <c r="Y62" s="794" t="str">
        <f t="shared" si="24"/>
        <v/>
      </c>
      <c r="Z62" s="816" t="str">
        <f t="shared" si="11"/>
        <v/>
      </c>
    </row>
    <row r="63" spans="1:26" ht="27" hidden="1" customHeight="1">
      <c r="A63" s="765"/>
      <c r="B63" s="795"/>
      <c r="C63" s="699"/>
      <c r="D63" s="699"/>
      <c r="E63" s="699"/>
      <c r="F63" s="807"/>
      <c r="G63" s="213"/>
      <c r="H63" s="906"/>
      <c r="I63" s="901" t="str">
        <f t="shared" si="7"/>
        <v/>
      </c>
      <c r="J63" s="787" t="str">
        <f t="shared" si="13"/>
        <v/>
      </c>
      <c r="K63" s="788" t="str">
        <f t="shared" si="17"/>
        <v/>
      </c>
      <c r="L63" s="277"/>
      <c r="M63" s="486"/>
      <c r="N63" s="733"/>
      <c r="O63" s="732"/>
      <c r="P63" s="637" t="str">
        <f t="shared" si="18"/>
        <v/>
      </c>
      <c r="Q63" s="789" t="str">
        <f t="shared" si="19"/>
        <v/>
      </c>
      <c r="R63" s="790" t="str">
        <f t="shared" si="20"/>
        <v/>
      </c>
      <c r="S63" s="799" t="str">
        <f t="shared" si="21"/>
        <v/>
      </c>
      <c r="T63" s="791"/>
      <c r="U63" s="799" t="str">
        <f t="shared" si="22"/>
        <v/>
      </c>
      <c r="V63" s="792" t="str">
        <f t="shared" si="9"/>
        <v/>
      </c>
      <c r="W63" s="793" t="str">
        <f t="shared" si="23"/>
        <v/>
      </c>
      <c r="X63" s="794" t="str">
        <f t="shared" si="10"/>
        <v/>
      </c>
      <c r="Y63" s="794" t="str">
        <f t="shared" si="24"/>
        <v/>
      </c>
      <c r="Z63" s="816" t="str">
        <f t="shared" si="11"/>
        <v/>
      </c>
    </row>
    <row r="64" spans="1:26" ht="27" hidden="1" customHeight="1">
      <c r="A64" s="765"/>
      <c r="B64" s="795"/>
      <c r="C64" s="699"/>
      <c r="D64" s="699"/>
      <c r="E64" s="699"/>
      <c r="F64" s="807"/>
      <c r="G64" s="213"/>
      <c r="H64" s="906"/>
      <c r="I64" s="901" t="str">
        <f t="shared" si="7"/>
        <v/>
      </c>
      <c r="J64" s="787" t="str">
        <f t="shared" si="13"/>
        <v/>
      </c>
      <c r="K64" s="788" t="str">
        <f t="shared" si="17"/>
        <v/>
      </c>
      <c r="L64" s="277"/>
      <c r="M64" s="486"/>
      <c r="N64" s="733"/>
      <c r="O64" s="732"/>
      <c r="P64" s="637" t="str">
        <f t="shared" si="18"/>
        <v/>
      </c>
      <c r="Q64" s="789" t="str">
        <f t="shared" si="19"/>
        <v/>
      </c>
      <c r="R64" s="790" t="str">
        <f t="shared" si="20"/>
        <v/>
      </c>
      <c r="S64" s="799" t="str">
        <f t="shared" si="21"/>
        <v/>
      </c>
      <c r="T64" s="791"/>
      <c r="U64" s="799" t="str">
        <f t="shared" si="22"/>
        <v/>
      </c>
      <c r="V64" s="792" t="str">
        <f t="shared" si="9"/>
        <v/>
      </c>
      <c r="W64" s="793" t="str">
        <f t="shared" si="23"/>
        <v/>
      </c>
      <c r="X64" s="794" t="str">
        <f t="shared" si="10"/>
        <v/>
      </c>
      <c r="Y64" s="794" t="str">
        <f t="shared" si="24"/>
        <v/>
      </c>
      <c r="Z64" s="816" t="str">
        <f t="shared" si="11"/>
        <v/>
      </c>
    </row>
    <row r="65" spans="1:26" ht="27" hidden="1" customHeight="1">
      <c r="A65" s="765"/>
      <c r="B65" s="795"/>
      <c r="C65" s="699"/>
      <c r="D65" s="699"/>
      <c r="E65" s="699"/>
      <c r="F65" s="807"/>
      <c r="G65" s="213"/>
      <c r="H65" s="906"/>
      <c r="I65" s="901" t="str">
        <f t="shared" si="7"/>
        <v/>
      </c>
      <c r="J65" s="787" t="str">
        <f t="shared" si="13"/>
        <v/>
      </c>
      <c r="K65" s="788" t="str">
        <f t="shared" si="17"/>
        <v/>
      </c>
      <c r="L65" s="277"/>
      <c r="M65" s="486"/>
      <c r="N65" s="733"/>
      <c r="O65" s="732"/>
      <c r="P65" s="637" t="str">
        <f t="shared" si="18"/>
        <v/>
      </c>
      <c r="Q65" s="789" t="str">
        <f t="shared" si="19"/>
        <v/>
      </c>
      <c r="R65" s="790" t="str">
        <f t="shared" si="20"/>
        <v/>
      </c>
      <c r="S65" s="799" t="str">
        <f t="shared" si="21"/>
        <v/>
      </c>
      <c r="T65" s="791"/>
      <c r="U65" s="799" t="str">
        <f t="shared" si="22"/>
        <v/>
      </c>
      <c r="V65" s="792" t="str">
        <f t="shared" si="9"/>
        <v/>
      </c>
      <c r="W65" s="793" t="str">
        <f t="shared" si="23"/>
        <v/>
      </c>
      <c r="X65" s="794" t="str">
        <f t="shared" si="10"/>
        <v/>
      </c>
      <c r="Y65" s="794" t="str">
        <f t="shared" si="24"/>
        <v/>
      </c>
      <c r="Z65" s="816" t="str">
        <f t="shared" si="11"/>
        <v/>
      </c>
    </row>
    <row r="66" spans="1:26" ht="27" hidden="1" customHeight="1">
      <c r="A66" s="765"/>
      <c r="B66" s="795"/>
      <c r="C66" s="699"/>
      <c r="D66" s="699"/>
      <c r="E66" s="699"/>
      <c r="F66" s="807"/>
      <c r="G66" s="213"/>
      <c r="H66" s="906"/>
      <c r="I66" s="901" t="str">
        <f t="shared" si="7"/>
        <v/>
      </c>
      <c r="J66" s="787" t="str">
        <f t="shared" si="13"/>
        <v/>
      </c>
      <c r="K66" s="788" t="str">
        <f t="shared" si="17"/>
        <v/>
      </c>
      <c r="L66" s="277"/>
      <c r="M66" s="486"/>
      <c r="N66" s="733"/>
      <c r="O66" s="732"/>
      <c r="P66" s="637" t="str">
        <f t="shared" si="18"/>
        <v/>
      </c>
      <c r="Q66" s="789" t="str">
        <f t="shared" si="19"/>
        <v/>
      </c>
      <c r="R66" s="790" t="str">
        <f t="shared" si="20"/>
        <v/>
      </c>
      <c r="S66" s="799" t="str">
        <f t="shared" si="21"/>
        <v/>
      </c>
      <c r="T66" s="791"/>
      <c r="U66" s="799" t="str">
        <f t="shared" si="22"/>
        <v/>
      </c>
      <c r="V66" s="792" t="str">
        <f t="shared" si="9"/>
        <v/>
      </c>
      <c r="W66" s="793" t="str">
        <f t="shared" si="23"/>
        <v/>
      </c>
      <c r="X66" s="794" t="str">
        <f t="shared" si="10"/>
        <v/>
      </c>
      <c r="Y66" s="794" t="str">
        <f t="shared" si="24"/>
        <v/>
      </c>
      <c r="Z66" s="816" t="str">
        <f t="shared" si="11"/>
        <v/>
      </c>
    </row>
    <row r="67" spans="1:26" ht="27" hidden="1" customHeight="1">
      <c r="A67" s="765"/>
      <c r="B67" s="795"/>
      <c r="C67" s="699"/>
      <c r="D67" s="699"/>
      <c r="E67" s="699"/>
      <c r="F67" s="807"/>
      <c r="G67" s="213"/>
      <c r="H67" s="906"/>
      <c r="I67" s="901" t="str">
        <f t="shared" si="7"/>
        <v/>
      </c>
      <c r="J67" s="787" t="str">
        <f t="shared" si="13"/>
        <v/>
      </c>
      <c r="K67" s="788" t="str">
        <f t="shared" si="17"/>
        <v/>
      </c>
      <c r="L67" s="277"/>
      <c r="M67" s="486"/>
      <c r="N67" s="733"/>
      <c r="O67" s="732"/>
      <c r="P67" s="637" t="str">
        <f t="shared" si="18"/>
        <v/>
      </c>
      <c r="Q67" s="789" t="str">
        <f t="shared" si="19"/>
        <v/>
      </c>
      <c r="R67" s="790" t="str">
        <f t="shared" si="20"/>
        <v/>
      </c>
      <c r="S67" s="799" t="str">
        <f t="shared" si="21"/>
        <v/>
      </c>
      <c r="T67" s="791"/>
      <c r="U67" s="799" t="str">
        <f t="shared" si="22"/>
        <v/>
      </c>
      <c r="V67" s="792" t="str">
        <f t="shared" si="9"/>
        <v/>
      </c>
      <c r="W67" s="793" t="str">
        <f t="shared" si="23"/>
        <v/>
      </c>
      <c r="X67" s="794" t="str">
        <f t="shared" si="10"/>
        <v/>
      </c>
      <c r="Y67" s="794" t="str">
        <f t="shared" si="24"/>
        <v/>
      </c>
      <c r="Z67" s="816" t="str">
        <f t="shared" si="11"/>
        <v/>
      </c>
    </row>
    <row r="68" spans="1:26" ht="27" hidden="1" customHeight="1">
      <c r="A68" s="765"/>
      <c r="B68" s="795"/>
      <c r="C68" s="699"/>
      <c r="D68" s="699"/>
      <c r="E68" s="699"/>
      <c r="F68" s="807"/>
      <c r="G68" s="213"/>
      <c r="H68" s="906"/>
      <c r="I68" s="901" t="str">
        <f t="shared" si="7"/>
        <v/>
      </c>
      <c r="J68" s="787" t="str">
        <f t="shared" si="13"/>
        <v/>
      </c>
      <c r="K68" s="788" t="str">
        <f t="shared" si="17"/>
        <v/>
      </c>
      <c r="L68" s="277"/>
      <c r="M68" s="486"/>
      <c r="N68" s="733"/>
      <c r="O68" s="732"/>
      <c r="P68" s="637" t="str">
        <f t="shared" si="18"/>
        <v/>
      </c>
      <c r="Q68" s="789" t="str">
        <f t="shared" si="19"/>
        <v/>
      </c>
      <c r="R68" s="790" t="str">
        <f t="shared" si="20"/>
        <v/>
      </c>
      <c r="S68" s="799" t="str">
        <f t="shared" si="21"/>
        <v/>
      </c>
      <c r="T68" s="791"/>
      <c r="U68" s="799" t="str">
        <f t="shared" si="22"/>
        <v/>
      </c>
      <c r="V68" s="792" t="str">
        <f t="shared" si="9"/>
        <v/>
      </c>
      <c r="W68" s="793" t="str">
        <f t="shared" si="23"/>
        <v/>
      </c>
      <c r="X68" s="794" t="str">
        <f t="shared" si="10"/>
        <v/>
      </c>
      <c r="Y68" s="794" t="str">
        <f t="shared" si="24"/>
        <v/>
      </c>
      <c r="Z68" s="816" t="str">
        <f t="shared" si="11"/>
        <v/>
      </c>
    </row>
    <row r="69" spans="1:26" ht="27" hidden="1" customHeight="1">
      <c r="A69" s="765"/>
      <c r="B69" s="795"/>
      <c r="C69" s="699"/>
      <c r="D69" s="699"/>
      <c r="E69" s="699"/>
      <c r="F69" s="807"/>
      <c r="G69" s="213"/>
      <c r="H69" s="906"/>
      <c r="I69" s="901" t="str">
        <f t="shared" si="7"/>
        <v/>
      </c>
      <c r="J69" s="787" t="str">
        <f t="shared" si="13"/>
        <v/>
      </c>
      <c r="K69" s="788" t="str">
        <f t="shared" si="17"/>
        <v/>
      </c>
      <c r="L69" s="277"/>
      <c r="M69" s="486"/>
      <c r="N69" s="733"/>
      <c r="O69" s="732"/>
      <c r="P69" s="637" t="str">
        <f t="shared" si="18"/>
        <v/>
      </c>
      <c r="Q69" s="789" t="str">
        <f t="shared" si="19"/>
        <v/>
      </c>
      <c r="R69" s="790" t="str">
        <f t="shared" si="20"/>
        <v/>
      </c>
      <c r="S69" s="799" t="str">
        <f t="shared" si="21"/>
        <v/>
      </c>
      <c r="T69" s="791"/>
      <c r="U69" s="799" t="str">
        <f t="shared" si="22"/>
        <v/>
      </c>
      <c r="V69" s="792" t="str">
        <f t="shared" si="9"/>
        <v/>
      </c>
      <c r="W69" s="793" t="str">
        <f t="shared" si="23"/>
        <v/>
      </c>
      <c r="X69" s="794" t="str">
        <f t="shared" si="10"/>
        <v/>
      </c>
      <c r="Y69" s="794" t="str">
        <f t="shared" si="24"/>
        <v/>
      </c>
      <c r="Z69" s="816" t="str">
        <f t="shared" si="11"/>
        <v/>
      </c>
    </row>
    <row r="70" spans="1:26" ht="27" hidden="1" customHeight="1">
      <c r="A70" s="765"/>
      <c r="B70" s="795"/>
      <c r="C70" s="699"/>
      <c r="D70" s="699"/>
      <c r="E70" s="699"/>
      <c r="F70" s="807"/>
      <c r="G70" s="213"/>
      <c r="H70" s="906"/>
      <c r="I70" s="901" t="str">
        <f t="shared" si="7"/>
        <v/>
      </c>
      <c r="J70" s="787" t="str">
        <f t="shared" si="13"/>
        <v/>
      </c>
      <c r="K70" s="788" t="str">
        <f t="shared" si="17"/>
        <v/>
      </c>
      <c r="L70" s="277"/>
      <c r="M70" s="486"/>
      <c r="N70" s="733"/>
      <c r="O70" s="732"/>
      <c r="P70" s="637" t="str">
        <f t="shared" si="18"/>
        <v/>
      </c>
      <c r="Q70" s="789" t="str">
        <f t="shared" si="19"/>
        <v/>
      </c>
      <c r="R70" s="790" t="str">
        <f t="shared" si="20"/>
        <v/>
      </c>
      <c r="S70" s="799" t="str">
        <f t="shared" si="21"/>
        <v/>
      </c>
      <c r="T70" s="791"/>
      <c r="U70" s="799" t="str">
        <f t="shared" si="22"/>
        <v/>
      </c>
      <c r="V70" s="792" t="str">
        <f t="shared" si="9"/>
        <v/>
      </c>
      <c r="W70" s="793" t="str">
        <f t="shared" si="23"/>
        <v/>
      </c>
      <c r="X70" s="794" t="str">
        <f t="shared" si="10"/>
        <v/>
      </c>
      <c r="Y70" s="794" t="str">
        <f t="shared" si="24"/>
        <v/>
      </c>
      <c r="Z70" s="816" t="str">
        <f t="shared" si="11"/>
        <v/>
      </c>
    </row>
    <row r="71" spans="1:26" ht="27" hidden="1" customHeight="1">
      <c r="A71" s="765"/>
      <c r="B71" s="795"/>
      <c r="C71" s="699"/>
      <c r="D71" s="699"/>
      <c r="E71" s="699"/>
      <c r="F71" s="807"/>
      <c r="G71" s="213"/>
      <c r="H71" s="906"/>
      <c r="I71" s="901" t="str">
        <f t="shared" si="7"/>
        <v/>
      </c>
      <c r="J71" s="787" t="str">
        <f t="shared" si="13"/>
        <v/>
      </c>
      <c r="K71" s="788" t="str">
        <f t="shared" si="17"/>
        <v/>
      </c>
      <c r="L71" s="277"/>
      <c r="M71" s="486"/>
      <c r="N71" s="733"/>
      <c r="O71" s="732"/>
      <c r="P71" s="637" t="str">
        <f t="shared" si="18"/>
        <v/>
      </c>
      <c r="Q71" s="789" t="str">
        <f t="shared" si="19"/>
        <v/>
      </c>
      <c r="R71" s="790" t="str">
        <f t="shared" si="20"/>
        <v/>
      </c>
      <c r="S71" s="799" t="str">
        <f t="shared" si="21"/>
        <v/>
      </c>
      <c r="T71" s="791"/>
      <c r="U71" s="799" t="str">
        <f t="shared" si="22"/>
        <v/>
      </c>
      <c r="V71" s="792" t="str">
        <f t="shared" si="9"/>
        <v/>
      </c>
      <c r="W71" s="793" t="str">
        <f t="shared" si="23"/>
        <v/>
      </c>
      <c r="X71" s="794" t="str">
        <f t="shared" si="10"/>
        <v/>
      </c>
      <c r="Y71" s="794" t="str">
        <f t="shared" si="24"/>
        <v/>
      </c>
      <c r="Z71" s="816" t="str">
        <f t="shared" si="11"/>
        <v/>
      </c>
    </row>
    <row r="72" spans="1:26" ht="27" hidden="1" customHeight="1">
      <c r="A72" s="765"/>
      <c r="B72" s="795"/>
      <c r="C72" s="699"/>
      <c r="D72" s="699"/>
      <c r="E72" s="699"/>
      <c r="F72" s="807"/>
      <c r="G72" s="213"/>
      <c r="H72" s="906"/>
      <c r="I72" s="901" t="str">
        <f t="shared" si="7"/>
        <v/>
      </c>
      <c r="J72" s="787" t="str">
        <f t="shared" si="13"/>
        <v/>
      </c>
      <c r="K72" s="788" t="str">
        <f t="shared" ref="K72:K87" si="25">IF(M72="","",VLOOKUP(I72,product_list,2,FALSE))</f>
        <v/>
      </c>
      <c r="L72" s="277"/>
      <c r="M72" s="486"/>
      <c r="N72" s="733"/>
      <c r="O72" s="732"/>
      <c r="P72" s="637" t="str">
        <f t="shared" ref="P72:P87" si="26">IF(M72="","",VLOOKUP(I72,product_list,11,FALSE))</f>
        <v/>
      </c>
      <c r="Q72" s="789" t="str">
        <f t="shared" ref="Q72:Q87" si="27">IF(M72="","",quote_currency_symbol)</f>
        <v/>
      </c>
      <c r="R72" s="790" t="str">
        <f t="shared" ref="R72:R87" si="28">IFERROR(IF(M72="","",IF(quote_price_type_id="01",VLOOKUP(MID(M72,1,5),product_list,13,FALSE),IF(quote_price_type_id="02",VLOOKUP(MID(M72,1,5),product_list,14,FALSE),IF(quote_price_type_id="03",VLOOKUP(MID(M72,1,5),product_list,15,FALSE),IF(quote_price_type_id="04",VLOOKUP(MID(M72,1,5),product_list,16,FALSE),IF(quote_price_type_id="05",VLOOKUP(MID(M72,1,5),product_list,12,FALSE),"")))))),"")</f>
        <v/>
      </c>
      <c r="S72" s="799" t="str">
        <f t="shared" ref="S72:S87" si="29">IF(T72=0,"",quote_currency_symbol)</f>
        <v/>
      </c>
      <c r="T72" s="791"/>
      <c r="U72" s="799" t="str">
        <f t="shared" ref="U72:U87" si="30">IF(M72="","",quote_currency_symbol)</f>
        <v/>
      </c>
      <c r="V72" s="792" t="str">
        <f t="shared" si="9"/>
        <v/>
      </c>
      <c r="W72" s="793" t="str">
        <f t="shared" ref="W72:W87" si="31">IF(AND(M72="",ISNA(VLOOKUP(MID(M72,1,5),product_list,20,FALSE))),"",VLOOKUP(MID(M72,1,5),product_list,20,FALSE))</f>
        <v/>
      </c>
      <c r="X72" s="794" t="str">
        <f t="shared" si="10"/>
        <v/>
      </c>
      <c r="Y72" s="794" t="str">
        <f t="shared" ref="Y72:Y87" si="32">IF(M72="","",VLOOKUP(MID(M72,1,5),product_list,12,FALSE))</f>
        <v/>
      </c>
      <c r="Z72" s="816" t="str">
        <f t="shared" si="11"/>
        <v/>
      </c>
    </row>
    <row r="73" spans="1:26" ht="27" hidden="1" customHeight="1">
      <c r="A73" s="765"/>
      <c r="B73" s="795"/>
      <c r="C73" s="699"/>
      <c r="D73" s="699"/>
      <c r="E73" s="699"/>
      <c r="F73" s="807"/>
      <c r="G73" s="213"/>
      <c r="H73" s="906"/>
      <c r="I73" s="901" t="str">
        <f t="shared" ref="I73:I87" si="33">IF(M73="","",MID(M73,1,5)*1)</f>
        <v/>
      </c>
      <c r="J73" s="787" t="str">
        <f t="shared" ref="J73:J87" si="34">IF(M73="","",1)</f>
        <v/>
      </c>
      <c r="K73" s="788" t="str">
        <f t="shared" si="25"/>
        <v/>
      </c>
      <c r="L73" s="277"/>
      <c r="M73" s="486"/>
      <c r="N73" s="733"/>
      <c r="O73" s="732"/>
      <c r="P73" s="637" t="str">
        <f t="shared" si="26"/>
        <v/>
      </c>
      <c r="Q73" s="789" t="str">
        <f t="shared" si="27"/>
        <v/>
      </c>
      <c r="R73" s="790" t="str">
        <f t="shared" si="28"/>
        <v/>
      </c>
      <c r="S73" s="799" t="str">
        <f t="shared" si="29"/>
        <v/>
      </c>
      <c r="T73" s="791"/>
      <c r="U73" s="799" t="str">
        <f t="shared" si="30"/>
        <v/>
      </c>
      <c r="V73" s="792" t="str">
        <f t="shared" ref="V73:V87" si="35">IF(OR(M73="",R73=""),"",(N73)*R73-T73)</f>
        <v/>
      </c>
      <c r="W73" s="793" t="str">
        <f t="shared" si="31"/>
        <v/>
      </c>
      <c r="X73" s="794" t="str">
        <f t="shared" ref="X73:X87" si="36">IF(M73="","",IF(O73*R73&gt;0,O73*R73,0)+T73)</f>
        <v/>
      </c>
      <c r="Y73" s="794" t="str">
        <f t="shared" si="32"/>
        <v/>
      </c>
      <c r="Z73" s="816" t="str">
        <f t="shared" ref="Z73:Z87" si="37">IF(OR(M73="",R73=""),"",(N73+O73)*R73)</f>
        <v/>
      </c>
    </row>
    <row r="74" spans="1:26" ht="27" hidden="1" customHeight="1">
      <c r="A74" s="765"/>
      <c r="B74" s="795"/>
      <c r="C74" s="699"/>
      <c r="D74" s="699"/>
      <c r="E74" s="699"/>
      <c r="F74" s="807"/>
      <c r="G74" s="213"/>
      <c r="H74" s="906"/>
      <c r="I74" s="901" t="str">
        <f t="shared" si="33"/>
        <v/>
      </c>
      <c r="J74" s="787" t="str">
        <f t="shared" si="34"/>
        <v/>
      </c>
      <c r="K74" s="788" t="str">
        <f t="shared" si="25"/>
        <v/>
      </c>
      <c r="L74" s="277"/>
      <c r="M74" s="486"/>
      <c r="N74" s="733"/>
      <c r="O74" s="732"/>
      <c r="P74" s="637" t="str">
        <f t="shared" si="26"/>
        <v/>
      </c>
      <c r="Q74" s="789" t="str">
        <f t="shared" si="27"/>
        <v/>
      </c>
      <c r="R74" s="790" t="str">
        <f t="shared" si="28"/>
        <v/>
      </c>
      <c r="S74" s="799" t="str">
        <f t="shared" si="29"/>
        <v/>
      </c>
      <c r="T74" s="791"/>
      <c r="U74" s="799" t="str">
        <f t="shared" si="30"/>
        <v/>
      </c>
      <c r="V74" s="792" t="str">
        <f t="shared" si="35"/>
        <v/>
      </c>
      <c r="W74" s="793" t="str">
        <f t="shared" si="31"/>
        <v/>
      </c>
      <c r="X74" s="794" t="str">
        <f t="shared" si="36"/>
        <v/>
      </c>
      <c r="Y74" s="794" t="str">
        <f t="shared" si="32"/>
        <v/>
      </c>
      <c r="Z74" s="816" t="str">
        <f t="shared" si="37"/>
        <v/>
      </c>
    </row>
    <row r="75" spans="1:26" ht="27" hidden="1" customHeight="1">
      <c r="A75" s="765"/>
      <c r="B75" s="795"/>
      <c r="C75" s="699"/>
      <c r="D75" s="699"/>
      <c r="E75" s="699"/>
      <c r="F75" s="807"/>
      <c r="G75" s="213"/>
      <c r="H75" s="906"/>
      <c r="I75" s="901" t="str">
        <f t="shared" si="33"/>
        <v/>
      </c>
      <c r="J75" s="787" t="str">
        <f t="shared" si="34"/>
        <v/>
      </c>
      <c r="K75" s="788" t="str">
        <f t="shared" si="25"/>
        <v/>
      </c>
      <c r="L75" s="277"/>
      <c r="M75" s="486"/>
      <c r="N75" s="733"/>
      <c r="O75" s="732"/>
      <c r="P75" s="637" t="str">
        <f t="shared" si="26"/>
        <v/>
      </c>
      <c r="Q75" s="789" t="str">
        <f t="shared" si="27"/>
        <v/>
      </c>
      <c r="R75" s="790" t="str">
        <f t="shared" si="28"/>
        <v/>
      </c>
      <c r="S75" s="799" t="str">
        <f t="shared" si="29"/>
        <v/>
      </c>
      <c r="T75" s="791"/>
      <c r="U75" s="799" t="str">
        <f t="shared" si="30"/>
        <v/>
      </c>
      <c r="V75" s="792" t="str">
        <f t="shared" si="35"/>
        <v/>
      </c>
      <c r="W75" s="793" t="str">
        <f t="shared" si="31"/>
        <v/>
      </c>
      <c r="X75" s="794" t="str">
        <f t="shared" si="36"/>
        <v/>
      </c>
      <c r="Y75" s="794" t="str">
        <f t="shared" si="32"/>
        <v/>
      </c>
      <c r="Z75" s="816" t="str">
        <f t="shared" si="37"/>
        <v/>
      </c>
    </row>
    <row r="76" spans="1:26" ht="27" hidden="1" customHeight="1">
      <c r="A76" s="765"/>
      <c r="B76" s="795"/>
      <c r="C76" s="699"/>
      <c r="D76" s="699"/>
      <c r="E76" s="699"/>
      <c r="F76" s="807"/>
      <c r="G76" s="213"/>
      <c r="H76" s="906"/>
      <c r="I76" s="901" t="str">
        <f t="shared" si="33"/>
        <v/>
      </c>
      <c r="J76" s="787" t="str">
        <f t="shared" si="34"/>
        <v/>
      </c>
      <c r="K76" s="788" t="str">
        <f t="shared" si="25"/>
        <v/>
      </c>
      <c r="L76" s="277"/>
      <c r="M76" s="486"/>
      <c r="N76" s="733"/>
      <c r="O76" s="732"/>
      <c r="P76" s="637" t="str">
        <f t="shared" si="26"/>
        <v/>
      </c>
      <c r="Q76" s="789" t="str">
        <f t="shared" si="27"/>
        <v/>
      </c>
      <c r="R76" s="790" t="str">
        <f t="shared" si="28"/>
        <v/>
      </c>
      <c r="S76" s="799" t="str">
        <f t="shared" si="29"/>
        <v/>
      </c>
      <c r="T76" s="791"/>
      <c r="U76" s="799" t="str">
        <f t="shared" si="30"/>
        <v/>
      </c>
      <c r="V76" s="792" t="str">
        <f t="shared" si="35"/>
        <v/>
      </c>
      <c r="W76" s="793" t="str">
        <f t="shared" si="31"/>
        <v/>
      </c>
      <c r="X76" s="794" t="str">
        <f t="shared" si="36"/>
        <v/>
      </c>
      <c r="Y76" s="794" t="str">
        <f t="shared" si="32"/>
        <v/>
      </c>
      <c r="Z76" s="816" t="str">
        <f t="shared" si="37"/>
        <v/>
      </c>
    </row>
    <row r="77" spans="1:26" ht="27" hidden="1" customHeight="1">
      <c r="A77" s="765"/>
      <c r="B77" s="795"/>
      <c r="C77" s="699"/>
      <c r="D77" s="699"/>
      <c r="E77" s="699"/>
      <c r="F77" s="807"/>
      <c r="G77" s="213"/>
      <c r="H77" s="906"/>
      <c r="I77" s="901" t="str">
        <f t="shared" si="33"/>
        <v/>
      </c>
      <c r="J77" s="787" t="str">
        <f t="shared" si="34"/>
        <v/>
      </c>
      <c r="K77" s="788" t="str">
        <f t="shared" si="25"/>
        <v/>
      </c>
      <c r="L77" s="277"/>
      <c r="M77" s="486"/>
      <c r="N77" s="733"/>
      <c r="O77" s="732"/>
      <c r="P77" s="637" t="str">
        <f t="shared" si="26"/>
        <v/>
      </c>
      <c r="Q77" s="789" t="str">
        <f t="shared" si="27"/>
        <v/>
      </c>
      <c r="R77" s="790" t="str">
        <f t="shared" si="28"/>
        <v/>
      </c>
      <c r="S77" s="799" t="str">
        <f t="shared" si="29"/>
        <v/>
      </c>
      <c r="T77" s="791"/>
      <c r="U77" s="799" t="str">
        <f t="shared" si="30"/>
        <v/>
      </c>
      <c r="V77" s="792" t="str">
        <f t="shared" si="35"/>
        <v/>
      </c>
      <c r="W77" s="793" t="str">
        <f t="shared" si="31"/>
        <v/>
      </c>
      <c r="X77" s="794" t="str">
        <f t="shared" si="36"/>
        <v/>
      </c>
      <c r="Y77" s="794" t="str">
        <f t="shared" si="32"/>
        <v/>
      </c>
      <c r="Z77" s="816" t="str">
        <f t="shared" si="37"/>
        <v/>
      </c>
    </row>
    <row r="78" spans="1:26" ht="27" hidden="1" customHeight="1">
      <c r="A78" s="765"/>
      <c r="B78" s="795"/>
      <c r="C78" s="699"/>
      <c r="D78" s="699"/>
      <c r="E78" s="699"/>
      <c r="F78" s="807"/>
      <c r="G78" s="213"/>
      <c r="H78" s="906"/>
      <c r="I78" s="901" t="str">
        <f t="shared" si="33"/>
        <v/>
      </c>
      <c r="J78" s="787" t="str">
        <f t="shared" si="34"/>
        <v/>
      </c>
      <c r="K78" s="788" t="str">
        <f t="shared" si="25"/>
        <v/>
      </c>
      <c r="L78" s="277"/>
      <c r="M78" s="486"/>
      <c r="N78" s="733"/>
      <c r="O78" s="732"/>
      <c r="P78" s="637" t="str">
        <f t="shared" si="26"/>
        <v/>
      </c>
      <c r="Q78" s="789" t="str">
        <f t="shared" si="27"/>
        <v/>
      </c>
      <c r="R78" s="790" t="str">
        <f t="shared" si="28"/>
        <v/>
      </c>
      <c r="S78" s="799" t="str">
        <f t="shared" si="29"/>
        <v/>
      </c>
      <c r="T78" s="791"/>
      <c r="U78" s="799" t="str">
        <f t="shared" si="30"/>
        <v/>
      </c>
      <c r="V78" s="792" t="str">
        <f t="shared" si="35"/>
        <v/>
      </c>
      <c r="W78" s="793" t="str">
        <f t="shared" si="31"/>
        <v/>
      </c>
      <c r="X78" s="794" t="str">
        <f t="shared" si="36"/>
        <v/>
      </c>
      <c r="Y78" s="794" t="str">
        <f t="shared" si="32"/>
        <v/>
      </c>
      <c r="Z78" s="816" t="str">
        <f t="shared" si="37"/>
        <v/>
      </c>
    </row>
    <row r="79" spans="1:26" ht="27" hidden="1" customHeight="1">
      <c r="A79" s="765"/>
      <c r="B79" s="795"/>
      <c r="C79" s="699"/>
      <c r="D79" s="699"/>
      <c r="E79" s="699"/>
      <c r="F79" s="807"/>
      <c r="G79" s="213"/>
      <c r="H79" s="906"/>
      <c r="I79" s="901" t="str">
        <f t="shared" si="33"/>
        <v/>
      </c>
      <c r="J79" s="787" t="str">
        <f t="shared" si="34"/>
        <v/>
      </c>
      <c r="K79" s="788" t="str">
        <f t="shared" si="25"/>
        <v/>
      </c>
      <c r="L79" s="277"/>
      <c r="M79" s="486"/>
      <c r="N79" s="733"/>
      <c r="O79" s="732"/>
      <c r="P79" s="637" t="str">
        <f t="shared" si="26"/>
        <v/>
      </c>
      <c r="Q79" s="789" t="str">
        <f t="shared" si="27"/>
        <v/>
      </c>
      <c r="R79" s="790" t="str">
        <f t="shared" si="28"/>
        <v/>
      </c>
      <c r="S79" s="799" t="str">
        <f t="shared" si="29"/>
        <v/>
      </c>
      <c r="T79" s="791"/>
      <c r="U79" s="799" t="str">
        <f t="shared" si="30"/>
        <v/>
      </c>
      <c r="V79" s="792" t="str">
        <f t="shared" si="35"/>
        <v/>
      </c>
      <c r="W79" s="793" t="str">
        <f t="shared" si="31"/>
        <v/>
      </c>
      <c r="X79" s="794" t="str">
        <f t="shared" si="36"/>
        <v/>
      </c>
      <c r="Y79" s="794" t="str">
        <f t="shared" si="32"/>
        <v/>
      </c>
      <c r="Z79" s="816" t="str">
        <f t="shared" si="37"/>
        <v/>
      </c>
    </row>
    <row r="80" spans="1:26" ht="27" hidden="1" customHeight="1">
      <c r="A80" s="765"/>
      <c r="B80" s="795"/>
      <c r="C80" s="699"/>
      <c r="D80" s="699"/>
      <c r="E80" s="699"/>
      <c r="F80" s="807"/>
      <c r="G80" s="213"/>
      <c r="H80" s="906"/>
      <c r="I80" s="901" t="str">
        <f t="shared" si="33"/>
        <v/>
      </c>
      <c r="J80" s="787" t="str">
        <f t="shared" si="34"/>
        <v/>
      </c>
      <c r="K80" s="788" t="str">
        <f t="shared" si="25"/>
        <v/>
      </c>
      <c r="L80" s="277"/>
      <c r="M80" s="486"/>
      <c r="N80" s="733"/>
      <c r="O80" s="732"/>
      <c r="P80" s="637" t="str">
        <f t="shared" si="26"/>
        <v/>
      </c>
      <c r="Q80" s="789" t="str">
        <f t="shared" si="27"/>
        <v/>
      </c>
      <c r="R80" s="790" t="str">
        <f t="shared" si="28"/>
        <v/>
      </c>
      <c r="S80" s="799" t="str">
        <f t="shared" si="29"/>
        <v/>
      </c>
      <c r="T80" s="791"/>
      <c r="U80" s="799" t="str">
        <f t="shared" si="30"/>
        <v/>
      </c>
      <c r="V80" s="792" t="str">
        <f t="shared" si="35"/>
        <v/>
      </c>
      <c r="W80" s="793" t="str">
        <f t="shared" si="31"/>
        <v/>
      </c>
      <c r="X80" s="794" t="str">
        <f t="shared" si="36"/>
        <v/>
      </c>
      <c r="Y80" s="794" t="str">
        <f t="shared" si="32"/>
        <v/>
      </c>
      <c r="Z80" s="816" t="str">
        <f t="shared" si="37"/>
        <v/>
      </c>
    </row>
    <row r="81" spans="1:26" ht="27" hidden="1" customHeight="1">
      <c r="A81" s="765"/>
      <c r="B81" s="795"/>
      <c r="C81" s="699"/>
      <c r="D81" s="699"/>
      <c r="E81" s="699"/>
      <c r="F81" s="807"/>
      <c r="G81" s="213"/>
      <c r="H81" s="906"/>
      <c r="I81" s="901" t="str">
        <f t="shared" si="33"/>
        <v/>
      </c>
      <c r="J81" s="787" t="str">
        <f t="shared" si="34"/>
        <v/>
      </c>
      <c r="K81" s="788" t="str">
        <f t="shared" si="25"/>
        <v/>
      </c>
      <c r="L81" s="277"/>
      <c r="M81" s="486"/>
      <c r="N81" s="733"/>
      <c r="O81" s="732"/>
      <c r="P81" s="637" t="str">
        <f t="shared" si="26"/>
        <v/>
      </c>
      <c r="Q81" s="789" t="str">
        <f t="shared" si="27"/>
        <v/>
      </c>
      <c r="R81" s="790" t="str">
        <f t="shared" si="28"/>
        <v/>
      </c>
      <c r="S81" s="799" t="str">
        <f t="shared" si="29"/>
        <v/>
      </c>
      <c r="T81" s="791"/>
      <c r="U81" s="799" t="str">
        <f t="shared" si="30"/>
        <v/>
      </c>
      <c r="V81" s="792" t="str">
        <f t="shared" si="35"/>
        <v/>
      </c>
      <c r="W81" s="793" t="str">
        <f t="shared" si="31"/>
        <v/>
      </c>
      <c r="X81" s="794" t="str">
        <f t="shared" si="36"/>
        <v/>
      </c>
      <c r="Y81" s="794" t="str">
        <f t="shared" si="32"/>
        <v/>
      </c>
      <c r="Z81" s="816" t="str">
        <f t="shared" si="37"/>
        <v/>
      </c>
    </row>
    <row r="82" spans="1:26" ht="27" hidden="1" customHeight="1">
      <c r="A82" s="765"/>
      <c r="B82" s="795"/>
      <c r="C82" s="699"/>
      <c r="D82" s="699"/>
      <c r="E82" s="699"/>
      <c r="F82" s="807"/>
      <c r="G82" s="213"/>
      <c r="H82" s="906"/>
      <c r="I82" s="901" t="str">
        <f t="shared" si="33"/>
        <v/>
      </c>
      <c r="J82" s="787" t="str">
        <f t="shared" si="34"/>
        <v/>
      </c>
      <c r="K82" s="788" t="str">
        <f t="shared" si="25"/>
        <v/>
      </c>
      <c r="L82" s="277"/>
      <c r="M82" s="486"/>
      <c r="N82" s="733"/>
      <c r="O82" s="732"/>
      <c r="P82" s="637" t="str">
        <f t="shared" si="26"/>
        <v/>
      </c>
      <c r="Q82" s="789" t="str">
        <f t="shared" si="27"/>
        <v/>
      </c>
      <c r="R82" s="790" t="str">
        <f t="shared" si="28"/>
        <v/>
      </c>
      <c r="S82" s="799" t="str">
        <f t="shared" si="29"/>
        <v/>
      </c>
      <c r="T82" s="791"/>
      <c r="U82" s="799" t="str">
        <f t="shared" si="30"/>
        <v/>
      </c>
      <c r="V82" s="792" t="str">
        <f t="shared" si="35"/>
        <v/>
      </c>
      <c r="W82" s="793" t="str">
        <f t="shared" si="31"/>
        <v/>
      </c>
      <c r="X82" s="794" t="str">
        <f t="shared" si="36"/>
        <v/>
      </c>
      <c r="Y82" s="794" t="str">
        <f t="shared" si="32"/>
        <v/>
      </c>
      <c r="Z82" s="816" t="str">
        <f t="shared" si="37"/>
        <v/>
      </c>
    </row>
    <row r="83" spans="1:26" ht="27" hidden="1" customHeight="1">
      <c r="A83" s="765"/>
      <c r="B83" s="795"/>
      <c r="C83" s="699"/>
      <c r="D83" s="699"/>
      <c r="E83" s="699"/>
      <c r="F83" s="807"/>
      <c r="G83" s="213"/>
      <c r="H83" s="906"/>
      <c r="I83" s="901" t="str">
        <f t="shared" si="33"/>
        <v/>
      </c>
      <c r="J83" s="787" t="str">
        <f t="shared" si="34"/>
        <v/>
      </c>
      <c r="K83" s="788" t="str">
        <f t="shared" si="25"/>
        <v/>
      </c>
      <c r="L83" s="277"/>
      <c r="M83" s="486"/>
      <c r="N83" s="733"/>
      <c r="O83" s="732"/>
      <c r="P83" s="637" t="str">
        <f t="shared" si="26"/>
        <v/>
      </c>
      <c r="Q83" s="789" t="str">
        <f t="shared" si="27"/>
        <v/>
      </c>
      <c r="R83" s="790" t="str">
        <f t="shared" si="28"/>
        <v/>
      </c>
      <c r="S83" s="799" t="str">
        <f t="shared" si="29"/>
        <v/>
      </c>
      <c r="T83" s="791"/>
      <c r="U83" s="799" t="str">
        <f t="shared" si="30"/>
        <v/>
      </c>
      <c r="V83" s="792" t="str">
        <f t="shared" si="35"/>
        <v/>
      </c>
      <c r="W83" s="793" t="str">
        <f t="shared" si="31"/>
        <v/>
      </c>
      <c r="X83" s="794" t="str">
        <f t="shared" si="36"/>
        <v/>
      </c>
      <c r="Y83" s="794" t="str">
        <f t="shared" si="32"/>
        <v/>
      </c>
      <c r="Z83" s="816" t="str">
        <f t="shared" si="37"/>
        <v/>
      </c>
    </row>
    <row r="84" spans="1:26" ht="27" hidden="1" customHeight="1">
      <c r="A84" s="765"/>
      <c r="B84" s="795"/>
      <c r="C84" s="699"/>
      <c r="D84" s="699"/>
      <c r="E84" s="699"/>
      <c r="F84" s="807"/>
      <c r="G84" s="213"/>
      <c r="H84" s="906"/>
      <c r="I84" s="901" t="str">
        <f t="shared" si="33"/>
        <v/>
      </c>
      <c r="J84" s="787" t="str">
        <f t="shared" si="34"/>
        <v/>
      </c>
      <c r="K84" s="788" t="str">
        <f t="shared" si="25"/>
        <v/>
      </c>
      <c r="L84" s="277"/>
      <c r="M84" s="486"/>
      <c r="N84" s="733"/>
      <c r="O84" s="732"/>
      <c r="P84" s="637" t="str">
        <f t="shared" si="26"/>
        <v/>
      </c>
      <c r="Q84" s="789" t="str">
        <f t="shared" si="27"/>
        <v/>
      </c>
      <c r="R84" s="790" t="str">
        <f t="shared" si="28"/>
        <v/>
      </c>
      <c r="S84" s="799" t="str">
        <f t="shared" si="29"/>
        <v/>
      </c>
      <c r="T84" s="791"/>
      <c r="U84" s="799" t="str">
        <f t="shared" si="30"/>
        <v/>
      </c>
      <c r="V84" s="792" t="str">
        <f t="shared" si="35"/>
        <v/>
      </c>
      <c r="W84" s="793" t="str">
        <f t="shared" si="31"/>
        <v/>
      </c>
      <c r="X84" s="794" t="str">
        <f t="shared" si="36"/>
        <v/>
      </c>
      <c r="Y84" s="794" t="str">
        <f t="shared" si="32"/>
        <v/>
      </c>
      <c r="Z84" s="816" t="str">
        <f t="shared" si="37"/>
        <v/>
      </c>
    </row>
    <row r="85" spans="1:26" ht="27" hidden="1" customHeight="1">
      <c r="A85" s="765"/>
      <c r="B85" s="795"/>
      <c r="C85" s="699"/>
      <c r="D85" s="699"/>
      <c r="E85" s="699"/>
      <c r="F85" s="807"/>
      <c r="G85" s="213"/>
      <c r="H85" s="906"/>
      <c r="I85" s="901" t="str">
        <f t="shared" si="33"/>
        <v/>
      </c>
      <c r="J85" s="787" t="str">
        <f t="shared" si="34"/>
        <v/>
      </c>
      <c r="K85" s="788" t="str">
        <f t="shared" si="25"/>
        <v/>
      </c>
      <c r="L85" s="277"/>
      <c r="M85" s="486"/>
      <c r="N85" s="733"/>
      <c r="O85" s="732"/>
      <c r="P85" s="637" t="str">
        <f t="shared" si="26"/>
        <v/>
      </c>
      <c r="Q85" s="789" t="str">
        <f t="shared" si="27"/>
        <v/>
      </c>
      <c r="R85" s="790" t="str">
        <f t="shared" si="28"/>
        <v/>
      </c>
      <c r="S85" s="799" t="str">
        <f t="shared" si="29"/>
        <v/>
      </c>
      <c r="T85" s="791"/>
      <c r="U85" s="799" t="str">
        <f t="shared" si="30"/>
        <v/>
      </c>
      <c r="V85" s="792" t="str">
        <f t="shared" si="35"/>
        <v/>
      </c>
      <c r="W85" s="793" t="str">
        <f t="shared" si="31"/>
        <v/>
      </c>
      <c r="X85" s="794" t="str">
        <f t="shared" si="36"/>
        <v/>
      </c>
      <c r="Y85" s="794" t="str">
        <f t="shared" si="32"/>
        <v/>
      </c>
      <c r="Z85" s="816" t="str">
        <f t="shared" si="37"/>
        <v/>
      </c>
    </row>
    <row r="86" spans="1:26" ht="27" hidden="1" customHeight="1">
      <c r="A86" s="765"/>
      <c r="B86" s="795"/>
      <c r="C86" s="699"/>
      <c r="D86" s="699"/>
      <c r="E86" s="699"/>
      <c r="F86" s="807"/>
      <c r="G86" s="213"/>
      <c r="H86" s="906"/>
      <c r="I86" s="901" t="str">
        <f t="shared" si="33"/>
        <v/>
      </c>
      <c r="J86" s="787" t="str">
        <f t="shared" si="34"/>
        <v/>
      </c>
      <c r="K86" s="788" t="str">
        <f t="shared" si="25"/>
        <v/>
      </c>
      <c r="L86" s="277"/>
      <c r="M86" s="486"/>
      <c r="N86" s="733"/>
      <c r="O86" s="732"/>
      <c r="P86" s="637" t="str">
        <f t="shared" si="26"/>
        <v/>
      </c>
      <c r="Q86" s="789" t="str">
        <f t="shared" si="27"/>
        <v/>
      </c>
      <c r="R86" s="790" t="str">
        <f t="shared" si="28"/>
        <v/>
      </c>
      <c r="S86" s="799" t="str">
        <f t="shared" si="29"/>
        <v/>
      </c>
      <c r="T86" s="791"/>
      <c r="U86" s="799" t="str">
        <f t="shared" si="30"/>
        <v/>
      </c>
      <c r="V86" s="792" t="str">
        <f t="shared" si="35"/>
        <v/>
      </c>
      <c r="W86" s="793" t="str">
        <f t="shared" si="31"/>
        <v/>
      </c>
      <c r="X86" s="794" t="str">
        <f t="shared" si="36"/>
        <v/>
      </c>
      <c r="Y86" s="794" t="str">
        <f t="shared" si="32"/>
        <v/>
      </c>
      <c r="Z86" s="816" t="str">
        <f t="shared" si="37"/>
        <v/>
      </c>
    </row>
    <row r="87" spans="1:26" ht="27" hidden="1" customHeight="1">
      <c r="A87" s="765"/>
      <c r="B87" s="795"/>
      <c r="C87" s="699"/>
      <c r="D87" s="699"/>
      <c r="E87" s="699"/>
      <c r="F87" s="807"/>
      <c r="G87" s="213"/>
      <c r="I87" s="901" t="str">
        <f t="shared" si="33"/>
        <v/>
      </c>
      <c r="J87" s="787" t="str">
        <f t="shared" si="34"/>
        <v/>
      </c>
      <c r="K87" s="788" t="str">
        <f t="shared" si="25"/>
        <v/>
      </c>
      <c r="L87" s="277"/>
      <c r="M87" s="486"/>
      <c r="N87" s="733"/>
      <c r="O87" s="732"/>
      <c r="P87" s="637" t="str">
        <f t="shared" si="26"/>
        <v/>
      </c>
      <c r="Q87" s="789" t="str">
        <f t="shared" si="27"/>
        <v/>
      </c>
      <c r="R87" s="790" t="str">
        <f t="shared" si="28"/>
        <v/>
      </c>
      <c r="S87" s="799" t="str">
        <f t="shared" si="29"/>
        <v/>
      </c>
      <c r="T87" s="791"/>
      <c r="U87" s="799" t="str">
        <f t="shared" si="30"/>
        <v/>
      </c>
      <c r="V87" s="792" t="str">
        <f t="shared" si="35"/>
        <v/>
      </c>
      <c r="W87" s="793" t="str">
        <f t="shared" si="31"/>
        <v/>
      </c>
      <c r="X87" s="794" t="str">
        <f t="shared" si="36"/>
        <v/>
      </c>
      <c r="Y87" s="794" t="str">
        <f t="shared" si="32"/>
        <v/>
      </c>
      <c r="Z87" s="816" t="str">
        <f t="shared" si="37"/>
        <v/>
      </c>
    </row>
    <row r="88" spans="1:26" ht="24.95" customHeight="1" thickBot="1">
      <c r="A88" s="765"/>
      <c r="B88" s="795"/>
      <c r="F88" s="807"/>
      <c r="G88" s="213"/>
      <c r="I88" s="1004"/>
      <c r="J88" s="817"/>
      <c r="K88" s="818"/>
      <c r="L88" s="819"/>
      <c r="M88" s="911" t="str">
        <f>"ជ្រើសរើសប្រភេទបញ្ចុះតម្លៃ"&amp;IF(quote_branch="",""," ("&amp;quote_currency_symbol&amp;")")</f>
        <v>ជ្រើសរើសប្រភេទបញ្ចុះតម្លៃ ($)</v>
      </c>
      <c r="N88" s="820"/>
      <c r="O88" s="912" t="s">
        <v>1840</v>
      </c>
      <c r="P88" s="912" t="s">
        <v>1841</v>
      </c>
      <c r="Q88" s="821"/>
      <c r="R88" s="822"/>
      <c r="S88" s="822"/>
      <c r="T88" s="823" t="s">
        <v>1842</v>
      </c>
      <c r="U88" s="823" t="str">
        <f>quote_currency_symbol</f>
        <v>$</v>
      </c>
      <c r="V88" s="824">
        <f>SUM(V8:V87)</f>
        <v>380</v>
      </c>
      <c r="X88" s="825">
        <f>SUM(X8:X87)</f>
        <v>20</v>
      </c>
      <c r="Y88" s="519" t="str">
        <f>quote_currency_symbol</f>
        <v>$</v>
      </c>
      <c r="Z88" s="825">
        <f>SUM(Z8:Z87)</f>
        <v>400</v>
      </c>
    </row>
    <row r="89" spans="1:26" ht="24.95" customHeight="1" thickBot="1">
      <c r="A89" s="765"/>
      <c r="B89" s="795"/>
      <c r="F89" s="807"/>
      <c r="G89" s="213"/>
      <c r="J89" s="771"/>
      <c r="M89" s="966" t="s">
        <v>66</v>
      </c>
      <c r="O89" s="826">
        <v>0</v>
      </c>
      <c r="P89" s="827" t="s">
        <v>63</v>
      </c>
      <c r="R89" s="828">
        <f>IFERROR(IF(quote_dis_option="",0,IF(MID(quote_dis_option,1,1)*1=1,N(quote_dis_amount),IF(MID(quote_dis_option,1,1)*1=2,(quote_sub_total_amount*quote_dis_percent)/100,0))),0)</f>
        <v>0</v>
      </c>
      <c r="S89" s="829" t="str">
        <f>quote_currency_symbol</f>
        <v>$</v>
      </c>
      <c r="T89" s="823" t="s">
        <v>1843</v>
      </c>
      <c r="U89" s="823" t="str">
        <f>quote_currency_symbol</f>
        <v>$</v>
      </c>
      <c r="V89" s="824">
        <f>IFERROR(IF(quote_dis_option="",0,IF(MID(quote_dis_option,1,1)*1=1,N(quote_dis_amount),IF(MID(quote_dis_option,1,1)*1=2,(quote_sub_total_amount*quote_dis_percent)/100,0))),0)</f>
        <v>0</v>
      </c>
      <c r="X89" s="143" t="s">
        <v>1779</v>
      </c>
      <c r="Z89" s="408" t="s">
        <v>1846</v>
      </c>
    </row>
    <row r="90" spans="1:26" ht="24.95" customHeight="1">
      <c r="B90" s="795"/>
      <c r="C90" s="133"/>
      <c r="D90" s="133"/>
      <c r="E90" s="133"/>
      <c r="F90" s="807"/>
      <c r="G90" s="213"/>
      <c r="J90" s="830"/>
      <c r="K90" s="265"/>
      <c r="L90" s="128"/>
      <c r="M90" s="831"/>
      <c r="N90" s="832"/>
      <c r="Q90" s="1027">
        <f>VLOOKUP(1,company_list,6,FALSE)</f>
        <v>2</v>
      </c>
      <c r="R90" s="913" t="s">
        <v>1933</v>
      </c>
      <c r="S90" s="1028" t="str">
        <f>IF(R90="","",VLOOKUP(MID(R90,1,2)*1,vat_list,3,FALSE))</f>
        <v>10</v>
      </c>
      <c r="T90" s="823" t="s">
        <v>1844</v>
      </c>
      <c r="U90" s="823" t="str">
        <f>quote_currency_symbol</f>
        <v>$</v>
      </c>
      <c r="V90" s="824">
        <f>IF(OR(quote_sub_total_amount="",quote_sub_total_amount=0,quote_vat=""),0,IF(quote_vat_cal_id=2,(quote_sub_total_amount-quote_discount)*quote_vat_percent/100,IF(quote_vat_cal_id=1,(quote_sub_total_amount)*quote_vat_percent/100,"")))</f>
        <v>38</v>
      </c>
    </row>
    <row r="91" spans="1:26" ht="24.95" customHeight="1">
      <c r="B91" s="833"/>
      <c r="C91" s="834"/>
      <c r="D91" s="834"/>
      <c r="E91" s="834"/>
      <c r="F91" s="835"/>
      <c r="J91" s="836"/>
      <c r="K91" s="837"/>
      <c r="L91" s="837"/>
      <c r="M91" s="838"/>
      <c r="N91" s="839"/>
      <c r="O91" s="840"/>
      <c r="P91" s="841"/>
      <c r="Q91" s="840"/>
      <c r="R91" s="842"/>
      <c r="S91" s="842"/>
      <c r="T91" s="823" t="s">
        <v>1845</v>
      </c>
      <c r="U91" s="823" t="str">
        <f>quote_currency_symbol</f>
        <v>$</v>
      </c>
      <c r="V91" s="824">
        <f>quote_sub_total_amount-quote_discount-quote_total_vat</f>
        <v>342</v>
      </c>
    </row>
    <row r="92" spans="1:26" ht="24.95" customHeight="1">
      <c r="J92" s="593"/>
      <c r="K92" s="593"/>
      <c r="L92" s="593"/>
      <c r="M92" s="689"/>
      <c r="N92" s="689"/>
      <c r="P92" s="426" t="s">
        <v>283</v>
      </c>
    </row>
    <row r="93" spans="1:26" ht="25.5" customHeight="1"/>
    <row r="101" spans="31:50" ht="30" customHeight="1"/>
    <row r="102" spans="31:50" ht="30" customHeight="1"/>
    <row r="103" spans="31:50" ht="30" customHeight="1"/>
    <row r="104" spans="31:50" ht="30" customHeight="1"/>
    <row r="110" spans="31:50" ht="24.95" customHeight="1">
      <c r="AE110" s="331" t="e">
        <f>AQ121&amp;IF(AH119="","",","&amp;AH119)&amp;IF(AH121="","",","&amp;AH121)</f>
        <v>#N/A</v>
      </c>
    </row>
    <row r="112" spans="31:50" ht="7.5" customHeight="1">
      <c r="AF112" s="693"/>
      <c r="AX112" s="693"/>
    </row>
    <row r="113" spans="31:63" ht="24.95" customHeight="1">
      <c r="AE113" s="694" t="s">
        <v>1723</v>
      </c>
      <c r="AW113" s="695"/>
    </row>
    <row r="114" spans="31:63" ht="24.95" customHeight="1">
      <c r="AE114" s="690" t="s">
        <v>288</v>
      </c>
      <c r="AF114" s="696"/>
      <c r="AG114" s="479" t="s">
        <v>1717</v>
      </c>
      <c r="AH114" s="697" t="str">
        <f>VLOOKUP(1,company_list,2,FALSE)</f>
        <v>គោកស្នួល ខនស្រ្តាក់សិន មេធៀរៀល</v>
      </c>
      <c r="AI114" s="278"/>
      <c r="AJ114" s="278"/>
      <c r="AK114" s="278"/>
      <c r="AW114" s="698"/>
      <c r="AY114" s="699"/>
      <c r="AZ114" s="699"/>
      <c r="BA114" s="699"/>
      <c r="BB114" s="699"/>
      <c r="BC114" s="129"/>
    </row>
    <row r="115" spans="31:63" ht="24.95" customHeight="1">
      <c r="AE115" s="700" t="s">
        <v>147</v>
      </c>
      <c r="AF115" s="701"/>
      <c r="AG115" s="702" t="s">
        <v>1717</v>
      </c>
      <c r="AH115" s="700" t="e">
        <f>IF(C13="","",VLOOKUP(MID(C13,1,2),branch_list,4,FALSE))</f>
        <v>#N/A</v>
      </c>
      <c r="AI115" s="703"/>
      <c r="AJ115" s="703"/>
      <c r="AK115" s="703"/>
      <c r="AW115" s="1577"/>
      <c r="AX115" s="1577"/>
      <c r="AY115" s="1577"/>
      <c r="AZ115" s="1577"/>
      <c r="BA115" s="1577"/>
      <c r="BB115" s="699"/>
      <c r="BC115" s="129"/>
    </row>
    <row r="116" spans="31:63" ht="24.95" customHeight="1">
      <c r="AE116" s="700" t="s">
        <v>145</v>
      </c>
      <c r="AF116" s="701"/>
      <c r="AG116" s="702" t="s">
        <v>1717</v>
      </c>
      <c r="AH116" s="700" t="e">
        <f>IF(C13="","",VLOOKUP(MID(C13,1,2),branch_list,11,FALSE))</f>
        <v>#N/A</v>
      </c>
      <c r="AI116" s="703"/>
      <c r="AJ116" s="703"/>
      <c r="AK116" s="703"/>
      <c r="AM116" s="1578" t="str">
        <f>IF(quote_service_type="","",MID(quote_service_type,5,100))</f>
        <v>សាប៊ូបញ្ចុះតម្លៃ</v>
      </c>
      <c r="AN116" s="1578"/>
      <c r="AO116" s="1578"/>
      <c r="AP116" s="1578"/>
      <c r="AQ116" s="1578"/>
      <c r="AR116" s="241"/>
      <c r="AS116" s="1570"/>
      <c r="AW116" s="1577"/>
      <c r="AX116" s="1577"/>
      <c r="AY116" s="1577"/>
      <c r="AZ116" s="1577"/>
      <c r="BA116" s="1577"/>
      <c r="BB116" s="699"/>
      <c r="BC116" s="129"/>
    </row>
    <row r="117" spans="31:63" ht="24.95" customHeight="1">
      <c r="AE117" s="704"/>
      <c r="AF117" s="693"/>
      <c r="AM117" s="1578"/>
      <c r="AN117" s="1578"/>
      <c r="AO117" s="1578"/>
      <c r="AP117" s="1578"/>
      <c r="AQ117" s="1578"/>
      <c r="AR117" s="241"/>
      <c r="AS117" s="1570"/>
      <c r="AW117" s="704"/>
      <c r="AX117" s="693"/>
      <c r="BE117" s="1569" t="str">
        <f>IF(quote_service_type="","",MID(quote_service_type,5,100))</f>
        <v>សាប៊ូបញ្ចុះតម្លៃ</v>
      </c>
      <c r="BF117" s="1569"/>
      <c r="BG117" s="1569"/>
      <c r="BH117" s="1569"/>
      <c r="BI117" s="1569"/>
      <c r="BK117" s="1570"/>
    </row>
    <row r="118" spans="31:63" ht="24.95" customHeight="1">
      <c r="AJ118" s="229"/>
      <c r="AK118" s="229"/>
      <c r="AM118" s="1578"/>
      <c r="AN118" s="1578"/>
      <c r="AO118" s="1578"/>
      <c r="AP118" s="1578"/>
      <c r="AQ118" s="1578"/>
      <c r="AR118" s="241"/>
      <c r="AS118" s="1570"/>
      <c r="BB118" s="229"/>
      <c r="BC118" s="229"/>
      <c r="BE118" s="1569"/>
      <c r="BF118" s="1569"/>
      <c r="BG118" s="1569"/>
      <c r="BH118" s="1569"/>
      <c r="BI118" s="1569"/>
      <c r="BK118" s="1570"/>
    </row>
    <row r="119" spans="31:63" ht="24.95" customHeight="1">
      <c r="AE119" s="1572" t="s">
        <v>288</v>
      </c>
      <c r="AF119" s="1572"/>
      <c r="AG119" s="327" t="s">
        <v>1717</v>
      </c>
      <c r="AH119" s="705" t="e">
        <f>IF(C11="","",VLOOKUP(MID(C11,1,4),customer_list,4,FALSE))</f>
        <v>#N/A</v>
      </c>
      <c r="AI119" s="229"/>
      <c r="AJ119" s="706"/>
      <c r="AK119" s="706"/>
      <c r="AO119" s="477"/>
      <c r="AP119" s="707"/>
      <c r="AQ119" s="477"/>
      <c r="AR119" s="707"/>
      <c r="AW119" s="1572" t="s">
        <v>288</v>
      </c>
      <c r="AX119" s="1572"/>
      <c r="AY119" s="327" t="s">
        <v>1717</v>
      </c>
      <c r="AZ119" s="705" t="e">
        <f>IF(C11="","",VLOOKUP(MID(C11,1,4),customer_list,4,FALSE))</f>
        <v>#N/A</v>
      </c>
      <c r="BA119" s="229"/>
      <c r="BB119" s="706"/>
      <c r="BC119" s="706"/>
      <c r="BK119" s="1570"/>
    </row>
    <row r="120" spans="31:63" ht="24.95" customHeight="1">
      <c r="AE120" s="1572" t="s">
        <v>147</v>
      </c>
      <c r="AF120" s="1572"/>
      <c r="AG120" s="327" t="s">
        <v>1717</v>
      </c>
      <c r="AH120" s="326" t="e">
        <f>IF(C11="","",VLOOKUP(MID(C11,1,4),customer_list,8,FALSE))</f>
        <v>#N/A</v>
      </c>
      <c r="AI120" s="706"/>
      <c r="AJ120" s="706"/>
      <c r="AK120" s="706"/>
      <c r="AO120" s="268"/>
      <c r="AP120" s="268" t="s">
        <v>99</v>
      </c>
      <c r="AQ120" s="327" t="s">
        <v>1717</v>
      </c>
      <c r="AR120" s="708"/>
      <c r="AS120" s="709">
        <f>IF(C9="","",C9)</f>
        <v>46178</v>
      </c>
      <c r="AT120" s="709"/>
      <c r="AW120" s="1572" t="s">
        <v>147</v>
      </c>
      <c r="AX120" s="1572"/>
      <c r="AY120" s="327" t="s">
        <v>1717</v>
      </c>
      <c r="AZ120" s="326" t="e">
        <f>IF(C11="","",VLOOKUP(MID(C11,1,4),customer_list,8,FALSE))</f>
        <v>#N/A</v>
      </c>
      <c r="BA120" s="706"/>
      <c r="BB120" s="706"/>
      <c r="BC120" s="706"/>
      <c r="BG120" s="268"/>
      <c r="BH120" s="306"/>
      <c r="BI120" s="710" t="s">
        <v>1817</v>
      </c>
      <c r="BJ120" s="708"/>
      <c r="BK120" s="709">
        <f>IF(C9="","",C9)</f>
        <v>46178</v>
      </c>
    </row>
    <row r="121" spans="31:63" ht="24.95" customHeight="1">
      <c r="AE121" s="1572" t="s">
        <v>145</v>
      </c>
      <c r="AF121" s="1572"/>
      <c r="AG121" s="327" t="s">
        <v>1717</v>
      </c>
      <c r="AH121" s="706" t="e">
        <f>IF(C11="","",VLOOKUP(MID(C11,1,4),customer_list,6,FALSE))</f>
        <v>#N/A</v>
      </c>
      <c r="AI121" s="706"/>
      <c r="AO121" s="268"/>
      <c r="AP121" s="268" t="s">
        <v>204</v>
      </c>
      <c r="AQ121" s="327" t="s">
        <v>1717</v>
      </c>
      <c r="AR121" s="711"/>
      <c r="AS121" s="711" t="str">
        <f>IF(E9="","",E9)</f>
        <v>26Q000012</v>
      </c>
      <c r="AW121" s="1572" t="s">
        <v>145</v>
      </c>
      <c r="AX121" s="1572"/>
      <c r="AY121" s="327" t="s">
        <v>1717</v>
      </c>
      <c r="AZ121" s="706" t="e">
        <f>IF(C11="","",VLOOKUP(MID(C11,1,4),customer_list,6,FALSE))</f>
        <v>#N/A</v>
      </c>
      <c r="BA121" s="706"/>
      <c r="BG121" s="268"/>
      <c r="BH121" s="306"/>
      <c r="BI121" s="306" t="s">
        <v>1818</v>
      </c>
      <c r="BJ121" s="711"/>
      <c r="BK121" s="711" t="str">
        <f>IF(E9="","",E9)</f>
        <v>26Q000012</v>
      </c>
    </row>
    <row r="122" spans="31:63" ht="12" customHeight="1"/>
    <row r="123" spans="31:63" ht="24.95" customHeight="1">
      <c r="AE123" s="712" t="s">
        <v>59</v>
      </c>
      <c r="AF123" s="1616" t="s">
        <v>204</v>
      </c>
      <c r="AG123" s="1619"/>
      <c r="AH123" s="1619"/>
      <c r="AI123" s="1616" t="s">
        <v>126</v>
      </c>
      <c r="AJ123" s="1617"/>
      <c r="AK123" s="712" t="s">
        <v>91</v>
      </c>
      <c r="AL123" s="712" t="s">
        <v>91</v>
      </c>
      <c r="AM123" s="712" t="s">
        <v>75</v>
      </c>
      <c r="AN123" s="1616" t="s">
        <v>76</v>
      </c>
      <c r="AO123" s="1617"/>
      <c r="AP123" s="1616" t="s">
        <v>58</v>
      </c>
      <c r="AQ123" s="1617"/>
      <c r="AR123" s="1616" t="s">
        <v>263</v>
      </c>
      <c r="AS123" s="1617"/>
      <c r="AT123" s="714"/>
      <c r="AW123" s="712" t="s">
        <v>59</v>
      </c>
      <c r="AX123" s="1616" t="s">
        <v>204</v>
      </c>
      <c r="AY123" s="1619"/>
      <c r="AZ123" s="1619"/>
      <c r="BA123" s="1616" t="s">
        <v>126</v>
      </c>
      <c r="BB123" s="1617"/>
      <c r="BC123" s="712" t="s">
        <v>91</v>
      </c>
      <c r="BD123" s="712" t="s">
        <v>91</v>
      </c>
      <c r="BE123" s="713" t="s">
        <v>75</v>
      </c>
      <c r="BF123" s="1616" t="s">
        <v>76</v>
      </c>
      <c r="BG123" s="1617"/>
      <c r="BH123" s="1616" t="s">
        <v>58</v>
      </c>
      <c r="BI123" s="1617"/>
      <c r="BJ123" s="1616" t="s">
        <v>263</v>
      </c>
      <c r="BK123" s="1617"/>
    </row>
    <row r="124" spans="31:63" ht="24.95" customHeight="1">
      <c r="AE124" s="715" t="s">
        <v>10</v>
      </c>
      <c r="AF124" s="1614" t="s">
        <v>132</v>
      </c>
      <c r="AG124" s="1618"/>
      <c r="AH124" s="1618"/>
      <c r="AI124" s="1614" t="s">
        <v>388</v>
      </c>
      <c r="AJ124" s="1615"/>
      <c r="AK124" s="715" t="s">
        <v>93</v>
      </c>
      <c r="AL124" s="715" t="s">
        <v>836</v>
      </c>
      <c r="AM124" s="715" t="s">
        <v>15</v>
      </c>
      <c r="AN124" s="1614" t="s">
        <v>94</v>
      </c>
      <c r="AO124" s="1615"/>
      <c r="AP124" s="1614" t="s">
        <v>113</v>
      </c>
      <c r="AQ124" s="1615"/>
      <c r="AR124" s="1614" t="s">
        <v>1718</v>
      </c>
      <c r="AS124" s="1615"/>
      <c r="AT124" s="717"/>
      <c r="AW124" s="715" t="s">
        <v>10</v>
      </c>
      <c r="AX124" s="1614" t="s">
        <v>132</v>
      </c>
      <c r="AY124" s="1618"/>
      <c r="AZ124" s="1618"/>
      <c r="BA124" s="1614" t="s">
        <v>388</v>
      </c>
      <c r="BB124" s="1615"/>
      <c r="BC124" s="715" t="s">
        <v>93</v>
      </c>
      <c r="BD124" s="715" t="s">
        <v>836</v>
      </c>
      <c r="BE124" s="716" t="s">
        <v>15</v>
      </c>
      <c r="BF124" s="1614" t="s">
        <v>94</v>
      </c>
      <c r="BG124" s="1615"/>
      <c r="BH124" s="1614" t="s">
        <v>113</v>
      </c>
      <c r="BI124" s="1615"/>
      <c r="BJ124" s="1614" t="s">
        <v>1718</v>
      </c>
      <c r="BK124" s="1615"/>
    </row>
    <row r="125" spans="31:63" ht="24.95" customHeight="1">
      <c r="AE125" s="718">
        <f>IF(M8="","",1)</f>
        <v>1</v>
      </c>
      <c r="AF125" s="719" t="str">
        <f>IF(K8&lt;&gt;"",K8,"")</f>
        <v>KS01</v>
      </c>
      <c r="AG125" s="719"/>
      <c r="AH125" s="719"/>
      <c r="AI125" s="720" t="str">
        <f>IF(M8&lt;&gt;"",MID(M8,7,200),"")</f>
        <v>អំពូលភ្លើង 75W</v>
      </c>
      <c r="AJ125" s="721"/>
      <c r="AK125" s="722">
        <f>IF(N8&gt;0,N8,"")</f>
        <v>2</v>
      </c>
      <c r="AL125" s="722">
        <f>IF(O8&lt;&gt;"",O8,"")</f>
        <v>1</v>
      </c>
      <c r="AM125" s="723" t="str">
        <f>IF(M8&lt;&gt;"",MID(P8,5,100),"")</f>
        <v>Case/6boxs</v>
      </c>
      <c r="AN125" s="724" t="str">
        <f t="shared" ref="AN125:AN156" si="38">IF(AI125="","",quote_currency_symbol)</f>
        <v>$</v>
      </c>
      <c r="AO125" s="725">
        <f>IF(M8&lt;&gt;"",R8,"")</f>
        <v>20</v>
      </c>
      <c r="AP125" s="726" t="str">
        <f>IF(AQ125=0,"",quote_currency_symbol)</f>
        <v/>
      </c>
      <c r="AQ125" s="727">
        <f t="shared" ref="AQ125:AQ156" si="39">IF(M8&lt;&gt;"",T8,"")</f>
        <v>0</v>
      </c>
      <c r="AR125" s="726" t="str">
        <f t="shared" ref="AR125:AR156" si="40">IF(AI125="","",quote_currency_symbol)</f>
        <v>$</v>
      </c>
      <c r="AS125" s="728">
        <f>IF(AND(AI125&lt;&gt;"",AK125&gt;0),(N(AK125))*AO125-AQ125,"")</f>
        <v>40</v>
      </c>
      <c r="AT125" s="717"/>
      <c r="AW125" s="718">
        <f>IF(M8="","",1)</f>
        <v>1</v>
      </c>
      <c r="AX125" s="719" t="str">
        <f>IF(M8&lt;&gt;"",K8,"")</f>
        <v>KS01</v>
      </c>
      <c r="AY125" s="719"/>
      <c r="AZ125" s="719"/>
      <c r="BA125" s="720" t="str">
        <f>IF(M8&lt;&gt;"",MID(M8,7,200),"")</f>
        <v>អំពូលភ្លើង 75W</v>
      </c>
      <c r="BB125" s="721"/>
      <c r="BC125" s="718">
        <f t="shared" ref="BC125:BC156" si="41">IF(N8&gt;0,N8,"")</f>
        <v>2</v>
      </c>
      <c r="BD125" s="718">
        <f t="shared" ref="BD125:BD156" si="42">IF(O8&lt;&gt;"",O8,"")</f>
        <v>1</v>
      </c>
      <c r="BE125" s="723" t="str">
        <f>IF(M8&lt;&gt;"",MID(P8,5,100),"")</f>
        <v>Case/6boxs</v>
      </c>
      <c r="BF125" s="724" t="str">
        <f t="shared" ref="BF125:BF156" si="43">IF(BA125="","",quote_currency_symbol)</f>
        <v>$</v>
      </c>
      <c r="BG125" s="729">
        <f t="shared" ref="BG125:BG156" si="44">IF(M8&lt;&gt;"",R8,"")</f>
        <v>20</v>
      </c>
      <c r="BH125" s="730" t="str">
        <f t="shared" ref="BH125:BH156" si="45">IF(BA125="","",quote_currency_symbol)</f>
        <v>$</v>
      </c>
      <c r="BI125" s="730">
        <f t="shared" ref="BI125:BI156" si="46">IF(M8&lt;&gt;"",T8,"")</f>
        <v>0</v>
      </c>
      <c r="BJ125" s="731" t="str">
        <f t="shared" ref="BJ125:BJ156" si="47">IF(BA125="","",quote_currency_symbol)</f>
        <v>$</v>
      </c>
      <c r="BK125" s="730">
        <f>IF(AND(BA125&lt;&gt;"",BC125&gt;0),(N(BC125))*BG125-BI125,"")</f>
        <v>40</v>
      </c>
    </row>
    <row r="126" spans="31:63" ht="24.95" customHeight="1">
      <c r="AE126" s="732">
        <f>IF(M9="","",AE125+1)</f>
        <v>2</v>
      </c>
      <c r="AF126" s="487" t="str">
        <f t="shared" ref="AF126:AF189" si="48">IF(K9&lt;&gt;"",K9,"")</f>
        <v>KS02</v>
      </c>
      <c r="AG126" s="487"/>
      <c r="AH126" s="487"/>
      <c r="AI126" s="720" t="str">
        <f t="shared" ref="AI126:AI189" si="49">IF(M9&lt;&gt;"",MID(M9,7,200),"")</f>
        <v>ឌីសង់តឺ schneder 32A</v>
      </c>
      <c r="AJ126" s="700"/>
      <c r="AK126" s="733">
        <f t="shared" ref="AK126:AK189" si="50">IF(N9&gt;0,N9,"")</f>
        <v>4</v>
      </c>
      <c r="AL126" s="733" t="str">
        <f t="shared" ref="AL126:AL189" si="51">IF(O9&lt;&gt;"",O9,"")</f>
        <v/>
      </c>
      <c r="AM126" s="723" t="str">
        <f t="shared" ref="AM126:AM189" si="52">IF(M9&lt;&gt;"",MID(P9,5,100),"")</f>
        <v>Case/12boxs</v>
      </c>
      <c r="AN126" s="734" t="str">
        <f t="shared" si="38"/>
        <v>$</v>
      </c>
      <c r="AO126" s="727">
        <f t="shared" ref="AO126:AO189" si="53">IF(M9&lt;&gt;"",R9,"")</f>
        <v>60</v>
      </c>
      <c r="AP126" s="735" t="str">
        <f t="shared" ref="AP126:AP157" si="54">IF(AI126="","",quote_currency_symbol)</f>
        <v>$</v>
      </c>
      <c r="AQ126" s="727">
        <f t="shared" si="39"/>
        <v>0</v>
      </c>
      <c r="AR126" s="735" t="str">
        <f t="shared" si="40"/>
        <v>$</v>
      </c>
      <c r="AS126" s="728">
        <f t="shared" ref="AS126:AS189" si="55">IF(AND(AI126&lt;&gt;"",AK126&gt;0),(N(AK126))*AO126-AQ126,"")</f>
        <v>240</v>
      </c>
      <c r="AT126" s="717"/>
      <c r="AW126" s="732">
        <f t="shared" ref="AW126:AW157" si="56">IF(M9="","",AW125+1)</f>
        <v>2</v>
      </c>
      <c r="AX126" s="487" t="str">
        <f t="shared" ref="AX126:AX189" si="57">IF(M9&lt;&gt;"",K9,"")</f>
        <v>KS02</v>
      </c>
      <c r="AY126" s="487"/>
      <c r="AZ126" s="487"/>
      <c r="BA126" s="720" t="str">
        <f t="shared" ref="BA126:BA189" si="58">IF(M9&lt;&gt;"",MID(M9,7,200),"")</f>
        <v>ឌីសង់តឺ schneder 32A</v>
      </c>
      <c r="BB126" s="700"/>
      <c r="BC126" s="732">
        <f t="shared" si="41"/>
        <v>4</v>
      </c>
      <c r="BD126" s="732" t="str">
        <f t="shared" si="42"/>
        <v/>
      </c>
      <c r="BE126" s="723" t="str">
        <f t="shared" ref="BE126:BE189" si="59">IF(M9&lt;&gt;"",MID(P9,5,100),"")</f>
        <v>Case/12boxs</v>
      </c>
      <c r="BF126" s="734" t="str">
        <f t="shared" si="43"/>
        <v>$</v>
      </c>
      <c r="BG126" s="736">
        <f t="shared" si="44"/>
        <v>60</v>
      </c>
      <c r="BH126" s="737" t="str">
        <f t="shared" si="45"/>
        <v>$</v>
      </c>
      <c r="BI126" s="737">
        <f t="shared" si="46"/>
        <v>0</v>
      </c>
      <c r="BJ126" s="738" t="str">
        <f t="shared" si="47"/>
        <v>$</v>
      </c>
      <c r="BK126" s="730">
        <f t="shared" ref="BK126:BK189" si="60">IF(AND(BA126&lt;&gt;"",BC126&gt;0),(N(BC126))*BG126-BI126,"")</f>
        <v>240</v>
      </c>
    </row>
    <row r="127" spans="31:63" ht="24.95" customHeight="1">
      <c r="AE127" s="732">
        <f t="shared" ref="AE127:AE190" si="61">IF(M10="","",AE126+1)</f>
        <v>3</v>
      </c>
      <c r="AF127" s="487" t="str">
        <f t="shared" si="48"/>
        <v>KS01</v>
      </c>
      <c r="AG127" s="487"/>
      <c r="AH127" s="487"/>
      <c r="AI127" s="720" t="str">
        <f t="shared" si="49"/>
        <v>អំពូលភ្លើង 75W</v>
      </c>
      <c r="AJ127" s="700"/>
      <c r="AK127" s="733">
        <f t="shared" si="50"/>
        <v>5</v>
      </c>
      <c r="AL127" s="733" t="str">
        <f t="shared" si="51"/>
        <v/>
      </c>
      <c r="AM127" s="723" t="str">
        <f t="shared" si="52"/>
        <v>Case/6boxs</v>
      </c>
      <c r="AN127" s="734" t="str">
        <f t="shared" si="38"/>
        <v>$</v>
      </c>
      <c r="AO127" s="727">
        <f t="shared" si="53"/>
        <v>20</v>
      </c>
      <c r="AP127" s="735" t="str">
        <f t="shared" si="54"/>
        <v>$</v>
      </c>
      <c r="AQ127" s="727">
        <f t="shared" si="39"/>
        <v>0</v>
      </c>
      <c r="AR127" s="735" t="str">
        <f t="shared" si="40"/>
        <v>$</v>
      </c>
      <c r="AS127" s="728">
        <f t="shared" si="55"/>
        <v>100</v>
      </c>
      <c r="AT127" s="717"/>
      <c r="AW127" s="732">
        <f t="shared" si="56"/>
        <v>3</v>
      </c>
      <c r="AX127" s="487" t="str">
        <f t="shared" si="57"/>
        <v>KS01</v>
      </c>
      <c r="AY127" s="487"/>
      <c r="AZ127" s="487"/>
      <c r="BA127" s="720" t="str">
        <f t="shared" si="58"/>
        <v>អំពូលភ្លើង 75W</v>
      </c>
      <c r="BB127" s="700"/>
      <c r="BC127" s="732">
        <f t="shared" si="41"/>
        <v>5</v>
      </c>
      <c r="BD127" s="732" t="str">
        <f t="shared" si="42"/>
        <v/>
      </c>
      <c r="BE127" s="723" t="str">
        <f t="shared" si="59"/>
        <v>Case/6boxs</v>
      </c>
      <c r="BF127" s="734" t="str">
        <f t="shared" si="43"/>
        <v>$</v>
      </c>
      <c r="BG127" s="736">
        <f t="shared" si="44"/>
        <v>20</v>
      </c>
      <c r="BH127" s="737" t="str">
        <f t="shared" si="45"/>
        <v>$</v>
      </c>
      <c r="BI127" s="737">
        <f t="shared" si="46"/>
        <v>0</v>
      </c>
      <c r="BJ127" s="738" t="str">
        <f t="shared" si="47"/>
        <v>$</v>
      </c>
      <c r="BK127" s="730">
        <f t="shared" si="60"/>
        <v>100</v>
      </c>
    </row>
    <row r="128" spans="31:63" ht="24.95" customHeight="1">
      <c r="AE128" s="732" t="str">
        <f t="shared" si="61"/>
        <v/>
      </c>
      <c r="AF128" s="487" t="str">
        <f t="shared" si="48"/>
        <v/>
      </c>
      <c r="AG128" s="487"/>
      <c r="AH128" s="487"/>
      <c r="AI128" s="720" t="str">
        <f t="shared" si="49"/>
        <v/>
      </c>
      <c r="AJ128" s="700"/>
      <c r="AK128" s="733" t="str">
        <f t="shared" si="50"/>
        <v/>
      </c>
      <c r="AL128" s="733" t="str">
        <f t="shared" si="51"/>
        <v/>
      </c>
      <c r="AM128" s="723" t="str">
        <f t="shared" si="52"/>
        <v/>
      </c>
      <c r="AN128" s="734" t="str">
        <f t="shared" si="38"/>
        <v/>
      </c>
      <c r="AO128" s="727" t="str">
        <f t="shared" si="53"/>
        <v/>
      </c>
      <c r="AP128" s="735" t="str">
        <f t="shared" si="54"/>
        <v/>
      </c>
      <c r="AQ128" s="727" t="str">
        <f t="shared" si="39"/>
        <v/>
      </c>
      <c r="AR128" s="735" t="str">
        <f t="shared" si="40"/>
        <v/>
      </c>
      <c r="AS128" s="728" t="str">
        <f t="shared" si="55"/>
        <v/>
      </c>
      <c r="AT128" s="717"/>
      <c r="AW128" s="732" t="str">
        <f t="shared" si="56"/>
        <v/>
      </c>
      <c r="AX128" s="487" t="str">
        <f t="shared" si="57"/>
        <v/>
      </c>
      <c r="AY128" s="487"/>
      <c r="AZ128" s="487"/>
      <c r="BA128" s="720" t="str">
        <f t="shared" si="58"/>
        <v/>
      </c>
      <c r="BB128" s="700"/>
      <c r="BC128" s="732" t="str">
        <f t="shared" si="41"/>
        <v/>
      </c>
      <c r="BD128" s="732" t="str">
        <f t="shared" si="42"/>
        <v/>
      </c>
      <c r="BE128" s="723" t="str">
        <f t="shared" si="59"/>
        <v/>
      </c>
      <c r="BF128" s="734" t="str">
        <f t="shared" si="43"/>
        <v/>
      </c>
      <c r="BG128" s="736" t="str">
        <f t="shared" si="44"/>
        <v/>
      </c>
      <c r="BH128" s="737" t="str">
        <f t="shared" si="45"/>
        <v/>
      </c>
      <c r="BI128" s="737" t="str">
        <f t="shared" si="46"/>
        <v/>
      </c>
      <c r="BJ128" s="738" t="str">
        <f t="shared" si="47"/>
        <v/>
      </c>
      <c r="BK128" s="730" t="str">
        <f t="shared" si="60"/>
        <v/>
      </c>
    </row>
    <row r="129" spans="31:63" ht="24.95" customHeight="1">
      <c r="AE129" s="732" t="str">
        <f t="shared" si="61"/>
        <v/>
      </c>
      <c r="AF129" s="487" t="str">
        <f t="shared" si="48"/>
        <v/>
      </c>
      <c r="AG129" s="487"/>
      <c r="AH129" s="487"/>
      <c r="AI129" s="720" t="str">
        <f t="shared" si="49"/>
        <v/>
      </c>
      <c r="AJ129" s="700"/>
      <c r="AK129" s="733" t="str">
        <f t="shared" si="50"/>
        <v/>
      </c>
      <c r="AL129" s="733" t="str">
        <f t="shared" si="51"/>
        <v/>
      </c>
      <c r="AM129" s="723" t="str">
        <f t="shared" si="52"/>
        <v/>
      </c>
      <c r="AN129" s="734" t="str">
        <f t="shared" si="38"/>
        <v/>
      </c>
      <c r="AO129" s="727" t="str">
        <f t="shared" si="53"/>
        <v/>
      </c>
      <c r="AP129" s="735" t="str">
        <f t="shared" si="54"/>
        <v/>
      </c>
      <c r="AQ129" s="727" t="str">
        <f t="shared" si="39"/>
        <v/>
      </c>
      <c r="AR129" s="735" t="str">
        <f t="shared" si="40"/>
        <v/>
      </c>
      <c r="AS129" s="728" t="str">
        <f t="shared" si="55"/>
        <v/>
      </c>
      <c r="AT129" s="717"/>
      <c r="AW129" s="732" t="str">
        <f t="shared" si="56"/>
        <v/>
      </c>
      <c r="AX129" s="487" t="str">
        <f t="shared" si="57"/>
        <v/>
      </c>
      <c r="AY129" s="487"/>
      <c r="AZ129" s="487"/>
      <c r="BA129" s="720" t="str">
        <f t="shared" si="58"/>
        <v/>
      </c>
      <c r="BB129" s="700"/>
      <c r="BC129" s="732" t="str">
        <f t="shared" si="41"/>
        <v/>
      </c>
      <c r="BD129" s="732" t="str">
        <f t="shared" si="42"/>
        <v/>
      </c>
      <c r="BE129" s="723" t="str">
        <f t="shared" si="59"/>
        <v/>
      </c>
      <c r="BF129" s="734" t="str">
        <f t="shared" si="43"/>
        <v/>
      </c>
      <c r="BG129" s="736" t="str">
        <f t="shared" si="44"/>
        <v/>
      </c>
      <c r="BH129" s="737" t="str">
        <f t="shared" si="45"/>
        <v/>
      </c>
      <c r="BI129" s="737" t="str">
        <f t="shared" si="46"/>
        <v/>
      </c>
      <c r="BJ129" s="738" t="str">
        <f t="shared" si="47"/>
        <v/>
      </c>
      <c r="BK129" s="730" t="str">
        <f t="shared" si="60"/>
        <v/>
      </c>
    </row>
    <row r="130" spans="31:63" ht="24.95" customHeight="1">
      <c r="AE130" s="732" t="str">
        <f t="shared" si="61"/>
        <v/>
      </c>
      <c r="AF130" s="487" t="str">
        <f t="shared" si="48"/>
        <v/>
      </c>
      <c r="AG130" s="487"/>
      <c r="AH130" s="487"/>
      <c r="AI130" s="720" t="str">
        <f t="shared" si="49"/>
        <v/>
      </c>
      <c r="AJ130" s="700"/>
      <c r="AK130" s="733" t="str">
        <f t="shared" si="50"/>
        <v/>
      </c>
      <c r="AL130" s="733" t="str">
        <f t="shared" si="51"/>
        <v/>
      </c>
      <c r="AM130" s="723" t="str">
        <f t="shared" si="52"/>
        <v/>
      </c>
      <c r="AN130" s="734" t="str">
        <f t="shared" si="38"/>
        <v/>
      </c>
      <c r="AO130" s="727" t="str">
        <f t="shared" si="53"/>
        <v/>
      </c>
      <c r="AP130" s="735" t="str">
        <f t="shared" si="54"/>
        <v/>
      </c>
      <c r="AQ130" s="727" t="str">
        <f t="shared" si="39"/>
        <v/>
      </c>
      <c r="AR130" s="735" t="str">
        <f t="shared" si="40"/>
        <v/>
      </c>
      <c r="AS130" s="728" t="str">
        <f t="shared" si="55"/>
        <v/>
      </c>
      <c r="AT130" s="717"/>
      <c r="AW130" s="732" t="str">
        <f t="shared" si="56"/>
        <v/>
      </c>
      <c r="AX130" s="487" t="str">
        <f t="shared" si="57"/>
        <v/>
      </c>
      <c r="AY130" s="487"/>
      <c r="AZ130" s="487"/>
      <c r="BA130" s="720" t="str">
        <f t="shared" si="58"/>
        <v/>
      </c>
      <c r="BB130" s="700"/>
      <c r="BC130" s="732" t="str">
        <f t="shared" si="41"/>
        <v/>
      </c>
      <c r="BD130" s="732" t="str">
        <f t="shared" si="42"/>
        <v/>
      </c>
      <c r="BE130" s="723" t="str">
        <f t="shared" si="59"/>
        <v/>
      </c>
      <c r="BF130" s="734" t="str">
        <f t="shared" si="43"/>
        <v/>
      </c>
      <c r="BG130" s="736" t="str">
        <f t="shared" si="44"/>
        <v/>
      </c>
      <c r="BH130" s="737" t="str">
        <f t="shared" si="45"/>
        <v/>
      </c>
      <c r="BI130" s="737" t="str">
        <f t="shared" si="46"/>
        <v/>
      </c>
      <c r="BJ130" s="738" t="str">
        <f t="shared" si="47"/>
        <v/>
      </c>
      <c r="BK130" s="730" t="str">
        <f t="shared" si="60"/>
        <v/>
      </c>
    </row>
    <row r="131" spans="31:63" ht="24.95" customHeight="1">
      <c r="AE131" s="732" t="str">
        <f t="shared" si="61"/>
        <v/>
      </c>
      <c r="AF131" s="487" t="str">
        <f t="shared" si="48"/>
        <v/>
      </c>
      <c r="AG131" s="487"/>
      <c r="AH131" s="487"/>
      <c r="AI131" s="720" t="str">
        <f t="shared" si="49"/>
        <v/>
      </c>
      <c r="AJ131" s="700"/>
      <c r="AK131" s="733" t="str">
        <f t="shared" si="50"/>
        <v/>
      </c>
      <c r="AL131" s="733" t="str">
        <f t="shared" si="51"/>
        <v/>
      </c>
      <c r="AM131" s="723" t="str">
        <f t="shared" si="52"/>
        <v/>
      </c>
      <c r="AN131" s="734" t="str">
        <f t="shared" si="38"/>
        <v/>
      </c>
      <c r="AO131" s="727" t="str">
        <f t="shared" si="53"/>
        <v/>
      </c>
      <c r="AP131" s="735" t="str">
        <f t="shared" si="54"/>
        <v/>
      </c>
      <c r="AQ131" s="727" t="str">
        <f t="shared" si="39"/>
        <v/>
      </c>
      <c r="AR131" s="735" t="str">
        <f t="shared" si="40"/>
        <v/>
      </c>
      <c r="AS131" s="728" t="str">
        <f t="shared" si="55"/>
        <v/>
      </c>
      <c r="AT131" s="717"/>
      <c r="AW131" s="732" t="str">
        <f t="shared" si="56"/>
        <v/>
      </c>
      <c r="AX131" s="487" t="str">
        <f t="shared" si="57"/>
        <v/>
      </c>
      <c r="AY131" s="487"/>
      <c r="AZ131" s="487"/>
      <c r="BA131" s="720" t="str">
        <f t="shared" si="58"/>
        <v/>
      </c>
      <c r="BB131" s="700"/>
      <c r="BC131" s="732" t="str">
        <f t="shared" si="41"/>
        <v/>
      </c>
      <c r="BD131" s="732" t="str">
        <f t="shared" si="42"/>
        <v/>
      </c>
      <c r="BE131" s="723" t="str">
        <f t="shared" si="59"/>
        <v/>
      </c>
      <c r="BF131" s="734" t="str">
        <f t="shared" si="43"/>
        <v/>
      </c>
      <c r="BG131" s="736" t="str">
        <f t="shared" si="44"/>
        <v/>
      </c>
      <c r="BH131" s="737" t="str">
        <f t="shared" si="45"/>
        <v/>
      </c>
      <c r="BI131" s="737" t="str">
        <f t="shared" si="46"/>
        <v/>
      </c>
      <c r="BJ131" s="738" t="str">
        <f t="shared" si="47"/>
        <v/>
      </c>
      <c r="BK131" s="730" t="str">
        <f t="shared" si="60"/>
        <v/>
      </c>
    </row>
    <row r="132" spans="31:63" ht="24.95" customHeight="1">
      <c r="AE132" s="732" t="str">
        <f t="shared" si="61"/>
        <v/>
      </c>
      <c r="AF132" s="487" t="str">
        <f t="shared" si="48"/>
        <v/>
      </c>
      <c r="AG132" s="487"/>
      <c r="AH132" s="487"/>
      <c r="AI132" s="720" t="str">
        <f t="shared" si="49"/>
        <v/>
      </c>
      <c r="AJ132" s="700"/>
      <c r="AK132" s="733" t="str">
        <f t="shared" si="50"/>
        <v/>
      </c>
      <c r="AL132" s="733" t="str">
        <f t="shared" si="51"/>
        <v/>
      </c>
      <c r="AM132" s="723" t="str">
        <f t="shared" si="52"/>
        <v/>
      </c>
      <c r="AN132" s="734" t="str">
        <f t="shared" si="38"/>
        <v/>
      </c>
      <c r="AO132" s="727" t="str">
        <f t="shared" si="53"/>
        <v/>
      </c>
      <c r="AP132" s="735" t="str">
        <f t="shared" si="54"/>
        <v/>
      </c>
      <c r="AQ132" s="727" t="str">
        <f t="shared" si="39"/>
        <v/>
      </c>
      <c r="AR132" s="735" t="str">
        <f t="shared" si="40"/>
        <v/>
      </c>
      <c r="AS132" s="728" t="str">
        <f t="shared" si="55"/>
        <v/>
      </c>
      <c r="AT132" s="717"/>
      <c r="AW132" s="732" t="str">
        <f t="shared" si="56"/>
        <v/>
      </c>
      <c r="AX132" s="487" t="str">
        <f t="shared" si="57"/>
        <v/>
      </c>
      <c r="AY132" s="487"/>
      <c r="AZ132" s="487"/>
      <c r="BA132" s="720" t="str">
        <f t="shared" si="58"/>
        <v/>
      </c>
      <c r="BB132" s="700"/>
      <c r="BC132" s="732" t="str">
        <f t="shared" si="41"/>
        <v/>
      </c>
      <c r="BD132" s="732" t="str">
        <f t="shared" si="42"/>
        <v/>
      </c>
      <c r="BE132" s="723" t="str">
        <f t="shared" si="59"/>
        <v/>
      </c>
      <c r="BF132" s="734" t="str">
        <f t="shared" si="43"/>
        <v/>
      </c>
      <c r="BG132" s="736" t="str">
        <f t="shared" si="44"/>
        <v/>
      </c>
      <c r="BH132" s="737" t="str">
        <f t="shared" si="45"/>
        <v/>
      </c>
      <c r="BI132" s="737" t="str">
        <f t="shared" si="46"/>
        <v/>
      </c>
      <c r="BJ132" s="738" t="str">
        <f t="shared" si="47"/>
        <v/>
      </c>
      <c r="BK132" s="730" t="str">
        <f t="shared" si="60"/>
        <v/>
      </c>
    </row>
    <row r="133" spans="31:63" ht="24.95" customHeight="1">
      <c r="AE133" s="732" t="str">
        <f t="shared" si="61"/>
        <v/>
      </c>
      <c r="AF133" s="487" t="str">
        <f t="shared" si="48"/>
        <v/>
      </c>
      <c r="AG133" s="487"/>
      <c r="AH133" s="487"/>
      <c r="AI133" s="720" t="str">
        <f t="shared" si="49"/>
        <v/>
      </c>
      <c r="AJ133" s="700"/>
      <c r="AK133" s="733" t="str">
        <f t="shared" si="50"/>
        <v/>
      </c>
      <c r="AL133" s="733" t="str">
        <f t="shared" si="51"/>
        <v/>
      </c>
      <c r="AM133" s="723" t="str">
        <f t="shared" si="52"/>
        <v/>
      </c>
      <c r="AN133" s="734" t="str">
        <f t="shared" si="38"/>
        <v/>
      </c>
      <c r="AO133" s="727" t="str">
        <f t="shared" si="53"/>
        <v/>
      </c>
      <c r="AP133" s="735" t="str">
        <f t="shared" si="54"/>
        <v/>
      </c>
      <c r="AQ133" s="727" t="str">
        <f t="shared" si="39"/>
        <v/>
      </c>
      <c r="AR133" s="735" t="str">
        <f t="shared" si="40"/>
        <v/>
      </c>
      <c r="AS133" s="728" t="str">
        <f t="shared" si="55"/>
        <v/>
      </c>
      <c r="AT133" s="717"/>
      <c r="AW133" s="732" t="str">
        <f t="shared" si="56"/>
        <v/>
      </c>
      <c r="AX133" s="487" t="str">
        <f t="shared" si="57"/>
        <v/>
      </c>
      <c r="AY133" s="487"/>
      <c r="AZ133" s="487"/>
      <c r="BA133" s="720" t="str">
        <f t="shared" si="58"/>
        <v/>
      </c>
      <c r="BB133" s="700"/>
      <c r="BC133" s="732" t="str">
        <f t="shared" si="41"/>
        <v/>
      </c>
      <c r="BD133" s="732" t="str">
        <f t="shared" si="42"/>
        <v/>
      </c>
      <c r="BE133" s="723" t="str">
        <f t="shared" si="59"/>
        <v/>
      </c>
      <c r="BF133" s="734" t="str">
        <f t="shared" si="43"/>
        <v/>
      </c>
      <c r="BG133" s="736" t="str">
        <f t="shared" si="44"/>
        <v/>
      </c>
      <c r="BH133" s="737" t="str">
        <f t="shared" si="45"/>
        <v/>
      </c>
      <c r="BI133" s="737" t="str">
        <f t="shared" si="46"/>
        <v/>
      </c>
      <c r="BJ133" s="738" t="str">
        <f t="shared" si="47"/>
        <v/>
      </c>
      <c r="BK133" s="730" t="str">
        <f t="shared" si="60"/>
        <v/>
      </c>
    </row>
    <row r="134" spans="31:63" ht="24.95" customHeight="1">
      <c r="AE134" s="732" t="str">
        <f t="shared" si="61"/>
        <v/>
      </c>
      <c r="AF134" s="487" t="str">
        <f t="shared" si="48"/>
        <v/>
      </c>
      <c r="AG134" s="487"/>
      <c r="AH134" s="487"/>
      <c r="AI134" s="720" t="str">
        <f t="shared" si="49"/>
        <v/>
      </c>
      <c r="AJ134" s="700"/>
      <c r="AK134" s="733" t="str">
        <f t="shared" si="50"/>
        <v/>
      </c>
      <c r="AL134" s="733" t="str">
        <f t="shared" si="51"/>
        <v/>
      </c>
      <c r="AM134" s="723" t="str">
        <f t="shared" si="52"/>
        <v/>
      </c>
      <c r="AN134" s="734" t="str">
        <f t="shared" si="38"/>
        <v/>
      </c>
      <c r="AO134" s="727" t="str">
        <f t="shared" si="53"/>
        <v/>
      </c>
      <c r="AP134" s="735" t="str">
        <f t="shared" si="54"/>
        <v/>
      </c>
      <c r="AQ134" s="727" t="str">
        <f t="shared" si="39"/>
        <v/>
      </c>
      <c r="AR134" s="735" t="str">
        <f t="shared" si="40"/>
        <v/>
      </c>
      <c r="AS134" s="728" t="str">
        <f t="shared" si="55"/>
        <v/>
      </c>
      <c r="AT134" s="717"/>
      <c r="AW134" s="732" t="str">
        <f t="shared" si="56"/>
        <v/>
      </c>
      <c r="AX134" s="487" t="str">
        <f t="shared" si="57"/>
        <v/>
      </c>
      <c r="AY134" s="487"/>
      <c r="AZ134" s="487"/>
      <c r="BA134" s="720" t="str">
        <f t="shared" si="58"/>
        <v/>
      </c>
      <c r="BB134" s="700"/>
      <c r="BC134" s="732" t="str">
        <f t="shared" si="41"/>
        <v/>
      </c>
      <c r="BD134" s="732" t="str">
        <f t="shared" si="42"/>
        <v/>
      </c>
      <c r="BE134" s="723" t="str">
        <f t="shared" si="59"/>
        <v/>
      </c>
      <c r="BF134" s="734" t="str">
        <f t="shared" si="43"/>
        <v/>
      </c>
      <c r="BG134" s="736" t="str">
        <f t="shared" si="44"/>
        <v/>
      </c>
      <c r="BH134" s="737" t="str">
        <f t="shared" si="45"/>
        <v/>
      </c>
      <c r="BI134" s="737" t="str">
        <f t="shared" si="46"/>
        <v/>
      </c>
      <c r="BJ134" s="738" t="str">
        <f t="shared" si="47"/>
        <v/>
      </c>
      <c r="BK134" s="730" t="str">
        <f t="shared" si="60"/>
        <v/>
      </c>
    </row>
    <row r="135" spans="31:63" ht="24.95" customHeight="1">
      <c r="AE135" s="732" t="str">
        <f t="shared" si="61"/>
        <v/>
      </c>
      <c r="AF135" s="487" t="str">
        <f t="shared" si="48"/>
        <v/>
      </c>
      <c r="AG135" s="487"/>
      <c r="AH135" s="487"/>
      <c r="AI135" s="720" t="str">
        <f t="shared" si="49"/>
        <v/>
      </c>
      <c r="AJ135" s="700"/>
      <c r="AK135" s="733" t="str">
        <f t="shared" si="50"/>
        <v/>
      </c>
      <c r="AL135" s="733" t="str">
        <f t="shared" si="51"/>
        <v/>
      </c>
      <c r="AM135" s="723" t="str">
        <f t="shared" si="52"/>
        <v/>
      </c>
      <c r="AN135" s="734" t="str">
        <f t="shared" si="38"/>
        <v/>
      </c>
      <c r="AO135" s="727" t="str">
        <f t="shared" si="53"/>
        <v/>
      </c>
      <c r="AP135" s="735" t="str">
        <f t="shared" si="54"/>
        <v/>
      </c>
      <c r="AQ135" s="727" t="str">
        <f t="shared" si="39"/>
        <v/>
      </c>
      <c r="AR135" s="735" t="str">
        <f t="shared" si="40"/>
        <v/>
      </c>
      <c r="AS135" s="728" t="str">
        <f t="shared" si="55"/>
        <v/>
      </c>
      <c r="AT135" s="717"/>
      <c r="AW135" s="732" t="str">
        <f t="shared" si="56"/>
        <v/>
      </c>
      <c r="AX135" s="487" t="str">
        <f t="shared" si="57"/>
        <v/>
      </c>
      <c r="AY135" s="487"/>
      <c r="AZ135" s="487"/>
      <c r="BA135" s="720" t="str">
        <f t="shared" si="58"/>
        <v/>
      </c>
      <c r="BB135" s="700"/>
      <c r="BC135" s="732" t="str">
        <f t="shared" si="41"/>
        <v/>
      </c>
      <c r="BD135" s="732" t="str">
        <f t="shared" si="42"/>
        <v/>
      </c>
      <c r="BE135" s="723" t="str">
        <f t="shared" si="59"/>
        <v/>
      </c>
      <c r="BF135" s="734" t="str">
        <f t="shared" si="43"/>
        <v/>
      </c>
      <c r="BG135" s="736" t="str">
        <f t="shared" si="44"/>
        <v/>
      </c>
      <c r="BH135" s="737" t="str">
        <f t="shared" si="45"/>
        <v/>
      </c>
      <c r="BI135" s="737" t="str">
        <f t="shared" si="46"/>
        <v/>
      </c>
      <c r="BJ135" s="738" t="str">
        <f t="shared" si="47"/>
        <v/>
      </c>
      <c r="BK135" s="730" t="str">
        <f t="shared" si="60"/>
        <v/>
      </c>
    </row>
    <row r="136" spans="31:63" ht="24.95" customHeight="1">
      <c r="AE136" s="732" t="str">
        <f t="shared" si="61"/>
        <v/>
      </c>
      <c r="AF136" s="487" t="str">
        <f t="shared" si="48"/>
        <v/>
      </c>
      <c r="AG136" s="487"/>
      <c r="AH136" s="487"/>
      <c r="AI136" s="720" t="str">
        <f t="shared" si="49"/>
        <v/>
      </c>
      <c r="AJ136" s="700"/>
      <c r="AK136" s="733" t="str">
        <f t="shared" si="50"/>
        <v/>
      </c>
      <c r="AL136" s="733" t="str">
        <f t="shared" si="51"/>
        <v/>
      </c>
      <c r="AM136" s="723" t="str">
        <f t="shared" si="52"/>
        <v/>
      </c>
      <c r="AN136" s="734" t="str">
        <f t="shared" si="38"/>
        <v/>
      </c>
      <c r="AO136" s="727" t="str">
        <f t="shared" si="53"/>
        <v/>
      </c>
      <c r="AP136" s="735" t="str">
        <f t="shared" si="54"/>
        <v/>
      </c>
      <c r="AQ136" s="727" t="str">
        <f t="shared" si="39"/>
        <v/>
      </c>
      <c r="AR136" s="735" t="str">
        <f t="shared" si="40"/>
        <v/>
      </c>
      <c r="AS136" s="728" t="str">
        <f t="shared" si="55"/>
        <v/>
      </c>
      <c r="AT136" s="717"/>
      <c r="AW136" s="732" t="str">
        <f t="shared" si="56"/>
        <v/>
      </c>
      <c r="AX136" s="487" t="str">
        <f t="shared" si="57"/>
        <v/>
      </c>
      <c r="AY136" s="487"/>
      <c r="AZ136" s="487"/>
      <c r="BA136" s="720" t="str">
        <f t="shared" si="58"/>
        <v/>
      </c>
      <c r="BB136" s="700"/>
      <c r="BC136" s="732" t="str">
        <f t="shared" si="41"/>
        <v/>
      </c>
      <c r="BD136" s="732" t="str">
        <f t="shared" si="42"/>
        <v/>
      </c>
      <c r="BE136" s="723" t="str">
        <f t="shared" si="59"/>
        <v/>
      </c>
      <c r="BF136" s="734" t="str">
        <f t="shared" si="43"/>
        <v/>
      </c>
      <c r="BG136" s="736" t="str">
        <f t="shared" si="44"/>
        <v/>
      </c>
      <c r="BH136" s="737" t="str">
        <f t="shared" si="45"/>
        <v/>
      </c>
      <c r="BI136" s="737" t="str">
        <f t="shared" si="46"/>
        <v/>
      </c>
      <c r="BJ136" s="738" t="str">
        <f t="shared" si="47"/>
        <v/>
      </c>
      <c r="BK136" s="730" t="str">
        <f t="shared" si="60"/>
        <v/>
      </c>
    </row>
    <row r="137" spans="31:63" ht="24.95" customHeight="1">
      <c r="AE137" s="732" t="str">
        <f t="shared" si="61"/>
        <v/>
      </c>
      <c r="AF137" s="487" t="str">
        <f t="shared" si="48"/>
        <v/>
      </c>
      <c r="AG137" s="487"/>
      <c r="AH137" s="487"/>
      <c r="AI137" s="720" t="str">
        <f t="shared" si="49"/>
        <v/>
      </c>
      <c r="AJ137" s="700"/>
      <c r="AK137" s="733" t="str">
        <f t="shared" si="50"/>
        <v/>
      </c>
      <c r="AL137" s="733" t="str">
        <f t="shared" si="51"/>
        <v/>
      </c>
      <c r="AM137" s="723" t="str">
        <f t="shared" si="52"/>
        <v/>
      </c>
      <c r="AN137" s="734" t="str">
        <f t="shared" si="38"/>
        <v/>
      </c>
      <c r="AO137" s="727" t="str">
        <f t="shared" si="53"/>
        <v/>
      </c>
      <c r="AP137" s="735" t="str">
        <f t="shared" si="54"/>
        <v/>
      </c>
      <c r="AQ137" s="727" t="str">
        <f t="shared" si="39"/>
        <v/>
      </c>
      <c r="AR137" s="735" t="str">
        <f t="shared" si="40"/>
        <v/>
      </c>
      <c r="AS137" s="728" t="str">
        <f t="shared" si="55"/>
        <v/>
      </c>
      <c r="AT137" s="717"/>
      <c r="AW137" s="732" t="str">
        <f t="shared" si="56"/>
        <v/>
      </c>
      <c r="AX137" s="487" t="str">
        <f t="shared" si="57"/>
        <v/>
      </c>
      <c r="AY137" s="487"/>
      <c r="AZ137" s="487"/>
      <c r="BA137" s="720" t="str">
        <f t="shared" si="58"/>
        <v/>
      </c>
      <c r="BB137" s="700"/>
      <c r="BC137" s="732" t="str">
        <f t="shared" si="41"/>
        <v/>
      </c>
      <c r="BD137" s="732" t="str">
        <f t="shared" si="42"/>
        <v/>
      </c>
      <c r="BE137" s="723" t="str">
        <f t="shared" si="59"/>
        <v/>
      </c>
      <c r="BF137" s="734" t="str">
        <f t="shared" si="43"/>
        <v/>
      </c>
      <c r="BG137" s="736" t="str">
        <f t="shared" si="44"/>
        <v/>
      </c>
      <c r="BH137" s="737" t="str">
        <f t="shared" si="45"/>
        <v/>
      </c>
      <c r="BI137" s="737" t="str">
        <f t="shared" si="46"/>
        <v/>
      </c>
      <c r="BJ137" s="738" t="str">
        <f t="shared" si="47"/>
        <v/>
      </c>
      <c r="BK137" s="730" t="str">
        <f t="shared" si="60"/>
        <v/>
      </c>
    </row>
    <row r="138" spans="31:63" ht="24.95" customHeight="1">
      <c r="AE138" s="732" t="str">
        <f t="shared" si="61"/>
        <v/>
      </c>
      <c r="AF138" s="487" t="str">
        <f t="shared" si="48"/>
        <v/>
      </c>
      <c r="AG138" s="487"/>
      <c r="AH138" s="487"/>
      <c r="AI138" s="720" t="str">
        <f t="shared" si="49"/>
        <v/>
      </c>
      <c r="AJ138" s="700"/>
      <c r="AK138" s="733" t="str">
        <f t="shared" si="50"/>
        <v/>
      </c>
      <c r="AL138" s="733" t="str">
        <f t="shared" si="51"/>
        <v/>
      </c>
      <c r="AM138" s="723" t="str">
        <f t="shared" si="52"/>
        <v/>
      </c>
      <c r="AN138" s="734" t="str">
        <f t="shared" si="38"/>
        <v/>
      </c>
      <c r="AO138" s="727" t="str">
        <f t="shared" si="53"/>
        <v/>
      </c>
      <c r="AP138" s="735" t="str">
        <f t="shared" si="54"/>
        <v/>
      </c>
      <c r="AQ138" s="727" t="str">
        <f t="shared" si="39"/>
        <v/>
      </c>
      <c r="AR138" s="735" t="str">
        <f t="shared" si="40"/>
        <v/>
      </c>
      <c r="AS138" s="728" t="str">
        <f t="shared" si="55"/>
        <v/>
      </c>
      <c r="AT138" s="717"/>
      <c r="AW138" s="732" t="str">
        <f t="shared" si="56"/>
        <v/>
      </c>
      <c r="AX138" s="487" t="str">
        <f t="shared" si="57"/>
        <v/>
      </c>
      <c r="AY138" s="487"/>
      <c r="AZ138" s="487"/>
      <c r="BA138" s="720" t="str">
        <f t="shared" si="58"/>
        <v/>
      </c>
      <c r="BB138" s="700"/>
      <c r="BC138" s="732" t="str">
        <f t="shared" si="41"/>
        <v/>
      </c>
      <c r="BD138" s="732" t="str">
        <f t="shared" si="42"/>
        <v/>
      </c>
      <c r="BE138" s="723" t="str">
        <f t="shared" si="59"/>
        <v/>
      </c>
      <c r="BF138" s="734" t="str">
        <f t="shared" si="43"/>
        <v/>
      </c>
      <c r="BG138" s="736" t="str">
        <f t="shared" si="44"/>
        <v/>
      </c>
      <c r="BH138" s="737" t="str">
        <f t="shared" si="45"/>
        <v/>
      </c>
      <c r="BI138" s="737" t="str">
        <f t="shared" si="46"/>
        <v/>
      </c>
      <c r="BJ138" s="738" t="str">
        <f t="shared" si="47"/>
        <v/>
      </c>
      <c r="BK138" s="730" t="str">
        <f t="shared" si="60"/>
        <v/>
      </c>
    </row>
    <row r="139" spans="31:63" ht="24.95" hidden="1" customHeight="1">
      <c r="AE139" s="732" t="str">
        <f t="shared" si="61"/>
        <v/>
      </c>
      <c r="AF139" s="487" t="str">
        <f t="shared" si="48"/>
        <v/>
      </c>
      <c r="AG139" s="487"/>
      <c r="AH139" s="487"/>
      <c r="AI139" s="720" t="str">
        <f t="shared" si="49"/>
        <v/>
      </c>
      <c r="AJ139" s="700"/>
      <c r="AK139" s="733" t="str">
        <f t="shared" si="50"/>
        <v/>
      </c>
      <c r="AL139" s="733" t="str">
        <f t="shared" si="51"/>
        <v/>
      </c>
      <c r="AM139" s="723" t="str">
        <f t="shared" si="52"/>
        <v/>
      </c>
      <c r="AN139" s="734" t="str">
        <f t="shared" si="38"/>
        <v/>
      </c>
      <c r="AO139" s="727" t="str">
        <f t="shared" si="53"/>
        <v/>
      </c>
      <c r="AP139" s="735" t="str">
        <f t="shared" si="54"/>
        <v/>
      </c>
      <c r="AQ139" s="727" t="str">
        <f t="shared" si="39"/>
        <v/>
      </c>
      <c r="AR139" s="735" t="str">
        <f t="shared" si="40"/>
        <v/>
      </c>
      <c r="AS139" s="728" t="str">
        <f t="shared" si="55"/>
        <v/>
      </c>
      <c r="AT139" s="717"/>
      <c r="AW139" s="732" t="str">
        <f t="shared" si="56"/>
        <v/>
      </c>
      <c r="AX139" s="487" t="str">
        <f t="shared" si="57"/>
        <v/>
      </c>
      <c r="AY139" s="487"/>
      <c r="AZ139" s="487"/>
      <c r="BA139" s="720" t="str">
        <f t="shared" si="58"/>
        <v/>
      </c>
      <c r="BB139" s="700"/>
      <c r="BC139" s="732" t="str">
        <f t="shared" si="41"/>
        <v/>
      </c>
      <c r="BD139" s="732" t="str">
        <f t="shared" si="42"/>
        <v/>
      </c>
      <c r="BE139" s="723" t="str">
        <f t="shared" si="59"/>
        <v/>
      </c>
      <c r="BF139" s="734" t="str">
        <f t="shared" si="43"/>
        <v/>
      </c>
      <c r="BG139" s="736" t="str">
        <f t="shared" si="44"/>
        <v/>
      </c>
      <c r="BH139" s="737" t="str">
        <f t="shared" si="45"/>
        <v/>
      </c>
      <c r="BI139" s="737" t="str">
        <f t="shared" si="46"/>
        <v/>
      </c>
      <c r="BJ139" s="738" t="str">
        <f t="shared" si="47"/>
        <v/>
      </c>
      <c r="BK139" s="730" t="str">
        <f t="shared" si="60"/>
        <v/>
      </c>
    </row>
    <row r="140" spans="31:63" ht="24.95" hidden="1" customHeight="1">
      <c r="AE140" s="488" t="str">
        <f t="shared" si="61"/>
        <v/>
      </c>
      <c r="AF140" s="739" t="str">
        <f t="shared" si="48"/>
        <v/>
      </c>
      <c r="AG140" s="739"/>
      <c r="AH140" s="739"/>
      <c r="AI140" s="720" t="str">
        <f t="shared" si="49"/>
        <v/>
      </c>
      <c r="AJ140" s="275"/>
      <c r="AK140" s="489" t="str">
        <f t="shared" si="50"/>
        <v/>
      </c>
      <c r="AL140" s="489" t="str">
        <f t="shared" si="51"/>
        <v/>
      </c>
      <c r="AM140" s="723" t="str">
        <f t="shared" si="52"/>
        <v/>
      </c>
      <c r="AN140" s="741" t="str">
        <f t="shared" si="38"/>
        <v/>
      </c>
      <c r="AO140" s="742" t="str">
        <f t="shared" si="53"/>
        <v/>
      </c>
      <c r="AP140" s="743" t="str">
        <f t="shared" si="54"/>
        <v/>
      </c>
      <c r="AQ140" s="742" t="str">
        <f t="shared" si="39"/>
        <v/>
      </c>
      <c r="AR140" s="743" t="str">
        <f t="shared" si="40"/>
        <v/>
      </c>
      <c r="AS140" s="728" t="str">
        <f t="shared" si="55"/>
        <v/>
      </c>
      <c r="AT140" s="717"/>
      <c r="AW140" s="732" t="str">
        <f t="shared" si="56"/>
        <v/>
      </c>
      <c r="AX140" s="487" t="str">
        <f t="shared" si="57"/>
        <v/>
      </c>
      <c r="AY140" s="487"/>
      <c r="AZ140" s="487"/>
      <c r="BA140" s="720" t="str">
        <f t="shared" si="58"/>
        <v/>
      </c>
      <c r="BB140" s="700"/>
      <c r="BC140" s="732" t="str">
        <f t="shared" si="41"/>
        <v/>
      </c>
      <c r="BD140" s="732" t="str">
        <f t="shared" si="42"/>
        <v/>
      </c>
      <c r="BE140" s="723" t="str">
        <f t="shared" si="59"/>
        <v/>
      </c>
      <c r="BF140" s="734" t="str">
        <f t="shared" si="43"/>
        <v/>
      </c>
      <c r="BG140" s="736" t="str">
        <f t="shared" si="44"/>
        <v/>
      </c>
      <c r="BH140" s="737" t="str">
        <f t="shared" si="45"/>
        <v/>
      </c>
      <c r="BI140" s="737" t="str">
        <f t="shared" si="46"/>
        <v/>
      </c>
      <c r="BJ140" s="738" t="str">
        <f t="shared" si="47"/>
        <v/>
      </c>
      <c r="BK140" s="730" t="str">
        <f t="shared" si="60"/>
        <v/>
      </c>
    </row>
    <row r="141" spans="31:63" ht="24.95" hidden="1" customHeight="1">
      <c r="AE141" s="488" t="str">
        <f t="shared" si="61"/>
        <v/>
      </c>
      <c r="AF141" s="739" t="str">
        <f t="shared" si="48"/>
        <v/>
      </c>
      <c r="AG141" s="739"/>
      <c r="AH141" s="739"/>
      <c r="AI141" s="720" t="str">
        <f t="shared" si="49"/>
        <v/>
      </c>
      <c r="AJ141" s="275"/>
      <c r="AK141" s="489" t="str">
        <f t="shared" si="50"/>
        <v/>
      </c>
      <c r="AL141" s="489" t="str">
        <f t="shared" si="51"/>
        <v/>
      </c>
      <c r="AM141" s="723" t="str">
        <f t="shared" si="52"/>
        <v/>
      </c>
      <c r="AN141" s="741" t="str">
        <f t="shared" si="38"/>
        <v/>
      </c>
      <c r="AO141" s="742" t="str">
        <f t="shared" si="53"/>
        <v/>
      </c>
      <c r="AP141" s="743" t="str">
        <f t="shared" si="54"/>
        <v/>
      </c>
      <c r="AQ141" s="742" t="str">
        <f t="shared" si="39"/>
        <v/>
      </c>
      <c r="AR141" s="743" t="str">
        <f t="shared" si="40"/>
        <v/>
      </c>
      <c r="AS141" s="728" t="str">
        <f t="shared" si="55"/>
        <v/>
      </c>
      <c r="AT141" s="717"/>
      <c r="AW141" s="732" t="str">
        <f t="shared" si="56"/>
        <v/>
      </c>
      <c r="AX141" s="487" t="str">
        <f t="shared" si="57"/>
        <v/>
      </c>
      <c r="AY141" s="487"/>
      <c r="AZ141" s="487"/>
      <c r="BA141" s="720" t="str">
        <f t="shared" si="58"/>
        <v/>
      </c>
      <c r="BB141" s="700"/>
      <c r="BC141" s="732" t="str">
        <f t="shared" si="41"/>
        <v/>
      </c>
      <c r="BD141" s="732" t="str">
        <f t="shared" si="42"/>
        <v/>
      </c>
      <c r="BE141" s="723" t="str">
        <f t="shared" si="59"/>
        <v/>
      </c>
      <c r="BF141" s="734" t="str">
        <f t="shared" si="43"/>
        <v/>
      </c>
      <c r="BG141" s="736" t="str">
        <f t="shared" si="44"/>
        <v/>
      </c>
      <c r="BH141" s="737" t="str">
        <f t="shared" si="45"/>
        <v/>
      </c>
      <c r="BI141" s="737" t="str">
        <f t="shared" si="46"/>
        <v/>
      </c>
      <c r="BJ141" s="738" t="str">
        <f t="shared" si="47"/>
        <v/>
      </c>
      <c r="BK141" s="730" t="str">
        <f t="shared" si="60"/>
        <v/>
      </c>
    </row>
    <row r="142" spans="31:63" ht="24.95" hidden="1" customHeight="1">
      <c r="AE142" s="488" t="str">
        <f t="shared" si="61"/>
        <v/>
      </c>
      <c r="AF142" s="739" t="str">
        <f t="shared" si="48"/>
        <v/>
      </c>
      <c r="AG142" s="739"/>
      <c r="AH142" s="739"/>
      <c r="AI142" s="720" t="str">
        <f t="shared" si="49"/>
        <v/>
      </c>
      <c r="AJ142" s="275"/>
      <c r="AK142" s="489" t="str">
        <f t="shared" si="50"/>
        <v/>
      </c>
      <c r="AL142" s="489" t="str">
        <f t="shared" si="51"/>
        <v/>
      </c>
      <c r="AM142" s="723" t="str">
        <f t="shared" si="52"/>
        <v/>
      </c>
      <c r="AN142" s="741" t="str">
        <f t="shared" si="38"/>
        <v/>
      </c>
      <c r="AO142" s="742" t="str">
        <f t="shared" si="53"/>
        <v/>
      </c>
      <c r="AP142" s="743" t="str">
        <f t="shared" si="54"/>
        <v/>
      </c>
      <c r="AQ142" s="742" t="str">
        <f t="shared" si="39"/>
        <v/>
      </c>
      <c r="AR142" s="743" t="str">
        <f t="shared" si="40"/>
        <v/>
      </c>
      <c r="AS142" s="728" t="str">
        <f t="shared" si="55"/>
        <v/>
      </c>
      <c r="AT142" s="717"/>
      <c r="AW142" s="732" t="str">
        <f t="shared" si="56"/>
        <v/>
      </c>
      <c r="AX142" s="487" t="str">
        <f t="shared" si="57"/>
        <v/>
      </c>
      <c r="AY142" s="487"/>
      <c r="AZ142" s="487"/>
      <c r="BA142" s="720" t="str">
        <f t="shared" si="58"/>
        <v/>
      </c>
      <c r="BB142" s="700"/>
      <c r="BC142" s="732" t="str">
        <f t="shared" si="41"/>
        <v/>
      </c>
      <c r="BD142" s="732" t="str">
        <f t="shared" si="42"/>
        <v/>
      </c>
      <c r="BE142" s="723" t="str">
        <f t="shared" si="59"/>
        <v/>
      </c>
      <c r="BF142" s="734" t="str">
        <f t="shared" si="43"/>
        <v/>
      </c>
      <c r="BG142" s="736" t="str">
        <f t="shared" si="44"/>
        <v/>
      </c>
      <c r="BH142" s="737" t="str">
        <f t="shared" si="45"/>
        <v/>
      </c>
      <c r="BI142" s="737" t="str">
        <f t="shared" si="46"/>
        <v/>
      </c>
      <c r="BJ142" s="738" t="str">
        <f t="shared" si="47"/>
        <v/>
      </c>
      <c r="BK142" s="730" t="str">
        <f t="shared" si="60"/>
        <v/>
      </c>
    </row>
    <row r="143" spans="31:63" ht="24.95" hidden="1" customHeight="1">
      <c r="AE143" s="488" t="str">
        <f t="shared" si="61"/>
        <v/>
      </c>
      <c r="AF143" s="739" t="str">
        <f t="shared" si="48"/>
        <v/>
      </c>
      <c r="AG143" s="739"/>
      <c r="AH143" s="739"/>
      <c r="AI143" s="720" t="str">
        <f t="shared" si="49"/>
        <v/>
      </c>
      <c r="AJ143" s="275"/>
      <c r="AK143" s="489" t="str">
        <f t="shared" si="50"/>
        <v/>
      </c>
      <c r="AL143" s="489" t="str">
        <f t="shared" si="51"/>
        <v/>
      </c>
      <c r="AM143" s="723" t="str">
        <f t="shared" si="52"/>
        <v/>
      </c>
      <c r="AN143" s="741" t="str">
        <f t="shared" si="38"/>
        <v/>
      </c>
      <c r="AO143" s="742" t="str">
        <f t="shared" si="53"/>
        <v/>
      </c>
      <c r="AP143" s="743" t="str">
        <f t="shared" si="54"/>
        <v/>
      </c>
      <c r="AQ143" s="742" t="str">
        <f t="shared" si="39"/>
        <v/>
      </c>
      <c r="AR143" s="743" t="str">
        <f t="shared" si="40"/>
        <v/>
      </c>
      <c r="AS143" s="728" t="str">
        <f t="shared" si="55"/>
        <v/>
      </c>
      <c r="AT143" s="717"/>
      <c r="AW143" s="732" t="str">
        <f t="shared" si="56"/>
        <v/>
      </c>
      <c r="AX143" s="487" t="str">
        <f t="shared" si="57"/>
        <v/>
      </c>
      <c r="AY143" s="487"/>
      <c r="AZ143" s="487"/>
      <c r="BA143" s="720" t="str">
        <f t="shared" si="58"/>
        <v/>
      </c>
      <c r="BB143" s="700"/>
      <c r="BC143" s="732" t="str">
        <f t="shared" si="41"/>
        <v/>
      </c>
      <c r="BD143" s="732" t="str">
        <f t="shared" si="42"/>
        <v/>
      </c>
      <c r="BE143" s="723" t="str">
        <f t="shared" si="59"/>
        <v/>
      </c>
      <c r="BF143" s="734" t="str">
        <f t="shared" si="43"/>
        <v/>
      </c>
      <c r="BG143" s="736" t="str">
        <f t="shared" si="44"/>
        <v/>
      </c>
      <c r="BH143" s="737" t="str">
        <f t="shared" si="45"/>
        <v/>
      </c>
      <c r="BI143" s="737" t="str">
        <f t="shared" si="46"/>
        <v/>
      </c>
      <c r="BJ143" s="738" t="str">
        <f t="shared" si="47"/>
        <v/>
      </c>
      <c r="BK143" s="730" t="str">
        <f t="shared" si="60"/>
        <v/>
      </c>
    </row>
    <row r="144" spans="31:63" ht="24.95" hidden="1" customHeight="1">
      <c r="AE144" s="488" t="str">
        <f t="shared" si="61"/>
        <v/>
      </c>
      <c r="AF144" s="739" t="str">
        <f t="shared" si="48"/>
        <v/>
      </c>
      <c r="AG144" s="739"/>
      <c r="AH144" s="739"/>
      <c r="AI144" s="720" t="str">
        <f t="shared" si="49"/>
        <v/>
      </c>
      <c r="AJ144" s="275"/>
      <c r="AK144" s="489" t="str">
        <f t="shared" si="50"/>
        <v/>
      </c>
      <c r="AL144" s="489" t="str">
        <f t="shared" si="51"/>
        <v/>
      </c>
      <c r="AM144" s="723" t="str">
        <f t="shared" si="52"/>
        <v/>
      </c>
      <c r="AN144" s="741" t="str">
        <f t="shared" si="38"/>
        <v/>
      </c>
      <c r="AO144" s="742" t="str">
        <f t="shared" si="53"/>
        <v/>
      </c>
      <c r="AP144" s="743" t="str">
        <f t="shared" si="54"/>
        <v/>
      </c>
      <c r="AQ144" s="742" t="str">
        <f t="shared" si="39"/>
        <v/>
      </c>
      <c r="AR144" s="743" t="str">
        <f t="shared" si="40"/>
        <v/>
      </c>
      <c r="AS144" s="728" t="str">
        <f t="shared" si="55"/>
        <v/>
      </c>
      <c r="AT144" s="717"/>
      <c r="AW144" s="732" t="str">
        <f t="shared" si="56"/>
        <v/>
      </c>
      <c r="AX144" s="487" t="str">
        <f t="shared" si="57"/>
        <v/>
      </c>
      <c r="AY144" s="487"/>
      <c r="AZ144" s="487"/>
      <c r="BA144" s="720" t="str">
        <f t="shared" si="58"/>
        <v/>
      </c>
      <c r="BB144" s="700"/>
      <c r="BC144" s="732" t="str">
        <f t="shared" si="41"/>
        <v/>
      </c>
      <c r="BD144" s="732" t="str">
        <f t="shared" si="42"/>
        <v/>
      </c>
      <c r="BE144" s="723" t="str">
        <f t="shared" si="59"/>
        <v/>
      </c>
      <c r="BF144" s="734" t="str">
        <f t="shared" si="43"/>
        <v/>
      </c>
      <c r="BG144" s="736" t="str">
        <f t="shared" si="44"/>
        <v/>
      </c>
      <c r="BH144" s="737" t="str">
        <f t="shared" si="45"/>
        <v/>
      </c>
      <c r="BI144" s="737" t="str">
        <f t="shared" si="46"/>
        <v/>
      </c>
      <c r="BJ144" s="738" t="str">
        <f t="shared" si="47"/>
        <v/>
      </c>
      <c r="BK144" s="730" t="str">
        <f t="shared" si="60"/>
        <v/>
      </c>
    </row>
    <row r="145" spans="31:63" ht="24.95" hidden="1" customHeight="1">
      <c r="AE145" s="488" t="str">
        <f t="shared" si="61"/>
        <v/>
      </c>
      <c r="AF145" s="739" t="str">
        <f t="shared" si="48"/>
        <v/>
      </c>
      <c r="AG145" s="739"/>
      <c r="AH145" s="739"/>
      <c r="AI145" s="720" t="str">
        <f t="shared" si="49"/>
        <v/>
      </c>
      <c r="AJ145" s="275"/>
      <c r="AK145" s="489" t="str">
        <f t="shared" si="50"/>
        <v/>
      </c>
      <c r="AL145" s="489" t="str">
        <f t="shared" si="51"/>
        <v/>
      </c>
      <c r="AM145" s="723" t="str">
        <f t="shared" si="52"/>
        <v/>
      </c>
      <c r="AN145" s="741" t="str">
        <f t="shared" si="38"/>
        <v/>
      </c>
      <c r="AO145" s="742" t="str">
        <f t="shared" si="53"/>
        <v/>
      </c>
      <c r="AP145" s="743" t="str">
        <f t="shared" si="54"/>
        <v/>
      </c>
      <c r="AQ145" s="742" t="str">
        <f t="shared" si="39"/>
        <v/>
      </c>
      <c r="AR145" s="743" t="str">
        <f t="shared" si="40"/>
        <v/>
      </c>
      <c r="AS145" s="728" t="str">
        <f t="shared" si="55"/>
        <v/>
      </c>
      <c r="AT145" s="717"/>
      <c r="AW145" s="732" t="str">
        <f t="shared" si="56"/>
        <v/>
      </c>
      <c r="AX145" s="487" t="str">
        <f t="shared" si="57"/>
        <v/>
      </c>
      <c r="AY145" s="487"/>
      <c r="AZ145" s="487"/>
      <c r="BA145" s="720" t="str">
        <f t="shared" si="58"/>
        <v/>
      </c>
      <c r="BB145" s="700"/>
      <c r="BC145" s="732" t="str">
        <f t="shared" si="41"/>
        <v/>
      </c>
      <c r="BD145" s="732" t="str">
        <f t="shared" si="42"/>
        <v/>
      </c>
      <c r="BE145" s="723" t="str">
        <f t="shared" si="59"/>
        <v/>
      </c>
      <c r="BF145" s="734" t="str">
        <f t="shared" si="43"/>
        <v/>
      </c>
      <c r="BG145" s="736" t="str">
        <f t="shared" si="44"/>
        <v/>
      </c>
      <c r="BH145" s="737" t="str">
        <f t="shared" si="45"/>
        <v/>
      </c>
      <c r="BI145" s="737" t="str">
        <f t="shared" si="46"/>
        <v/>
      </c>
      <c r="BJ145" s="738" t="str">
        <f t="shared" si="47"/>
        <v/>
      </c>
      <c r="BK145" s="730" t="str">
        <f t="shared" si="60"/>
        <v/>
      </c>
    </row>
    <row r="146" spans="31:63" ht="24.95" hidden="1" customHeight="1">
      <c r="AE146" s="488" t="str">
        <f t="shared" si="61"/>
        <v/>
      </c>
      <c r="AF146" s="739" t="str">
        <f t="shared" si="48"/>
        <v/>
      </c>
      <c r="AG146" s="739"/>
      <c r="AH146" s="739"/>
      <c r="AI146" s="720" t="str">
        <f t="shared" si="49"/>
        <v/>
      </c>
      <c r="AJ146" s="275"/>
      <c r="AK146" s="489" t="str">
        <f t="shared" si="50"/>
        <v/>
      </c>
      <c r="AL146" s="489" t="str">
        <f t="shared" si="51"/>
        <v/>
      </c>
      <c r="AM146" s="723" t="str">
        <f t="shared" si="52"/>
        <v/>
      </c>
      <c r="AN146" s="741" t="str">
        <f t="shared" si="38"/>
        <v/>
      </c>
      <c r="AO146" s="742" t="str">
        <f t="shared" si="53"/>
        <v/>
      </c>
      <c r="AP146" s="743" t="str">
        <f t="shared" si="54"/>
        <v/>
      </c>
      <c r="AQ146" s="742" t="str">
        <f t="shared" si="39"/>
        <v/>
      </c>
      <c r="AR146" s="743" t="str">
        <f t="shared" si="40"/>
        <v/>
      </c>
      <c r="AS146" s="728" t="str">
        <f t="shared" si="55"/>
        <v/>
      </c>
      <c r="AT146" s="717"/>
      <c r="AW146" s="732" t="str">
        <f t="shared" si="56"/>
        <v/>
      </c>
      <c r="AX146" s="487" t="str">
        <f t="shared" si="57"/>
        <v/>
      </c>
      <c r="AY146" s="487"/>
      <c r="AZ146" s="487"/>
      <c r="BA146" s="720" t="str">
        <f t="shared" si="58"/>
        <v/>
      </c>
      <c r="BB146" s="700"/>
      <c r="BC146" s="732" t="str">
        <f t="shared" si="41"/>
        <v/>
      </c>
      <c r="BD146" s="732" t="str">
        <f t="shared" si="42"/>
        <v/>
      </c>
      <c r="BE146" s="723" t="str">
        <f t="shared" si="59"/>
        <v/>
      </c>
      <c r="BF146" s="734" t="str">
        <f t="shared" si="43"/>
        <v/>
      </c>
      <c r="BG146" s="736" t="str">
        <f t="shared" si="44"/>
        <v/>
      </c>
      <c r="BH146" s="737" t="str">
        <f t="shared" si="45"/>
        <v/>
      </c>
      <c r="BI146" s="737" t="str">
        <f t="shared" si="46"/>
        <v/>
      </c>
      <c r="BJ146" s="738" t="str">
        <f t="shared" si="47"/>
        <v/>
      </c>
      <c r="BK146" s="730" t="str">
        <f t="shared" si="60"/>
        <v/>
      </c>
    </row>
    <row r="147" spans="31:63" ht="24.95" hidden="1" customHeight="1">
      <c r="AE147" s="488" t="str">
        <f t="shared" si="61"/>
        <v/>
      </c>
      <c r="AF147" s="739" t="str">
        <f t="shared" si="48"/>
        <v/>
      </c>
      <c r="AG147" s="739"/>
      <c r="AH147" s="739"/>
      <c r="AI147" s="720" t="str">
        <f t="shared" si="49"/>
        <v/>
      </c>
      <c r="AJ147" s="275"/>
      <c r="AK147" s="489" t="str">
        <f t="shared" si="50"/>
        <v/>
      </c>
      <c r="AL147" s="489" t="str">
        <f t="shared" si="51"/>
        <v/>
      </c>
      <c r="AM147" s="723" t="str">
        <f t="shared" si="52"/>
        <v/>
      </c>
      <c r="AN147" s="741" t="str">
        <f t="shared" si="38"/>
        <v/>
      </c>
      <c r="AO147" s="742" t="str">
        <f t="shared" si="53"/>
        <v/>
      </c>
      <c r="AP147" s="743" t="str">
        <f t="shared" si="54"/>
        <v/>
      </c>
      <c r="AQ147" s="742" t="str">
        <f t="shared" si="39"/>
        <v/>
      </c>
      <c r="AR147" s="743" t="str">
        <f t="shared" si="40"/>
        <v/>
      </c>
      <c r="AS147" s="728" t="str">
        <f t="shared" si="55"/>
        <v/>
      </c>
      <c r="AT147" s="717"/>
      <c r="AW147" s="732" t="str">
        <f t="shared" si="56"/>
        <v/>
      </c>
      <c r="AX147" s="487" t="str">
        <f t="shared" si="57"/>
        <v/>
      </c>
      <c r="AY147" s="487"/>
      <c r="AZ147" s="487"/>
      <c r="BA147" s="720" t="str">
        <f t="shared" si="58"/>
        <v/>
      </c>
      <c r="BB147" s="700"/>
      <c r="BC147" s="732" t="str">
        <f t="shared" si="41"/>
        <v/>
      </c>
      <c r="BD147" s="732" t="str">
        <f t="shared" si="42"/>
        <v/>
      </c>
      <c r="BE147" s="723" t="str">
        <f t="shared" si="59"/>
        <v/>
      </c>
      <c r="BF147" s="734" t="str">
        <f t="shared" si="43"/>
        <v/>
      </c>
      <c r="BG147" s="736" t="str">
        <f t="shared" si="44"/>
        <v/>
      </c>
      <c r="BH147" s="737" t="str">
        <f t="shared" si="45"/>
        <v/>
      </c>
      <c r="BI147" s="737" t="str">
        <f t="shared" si="46"/>
        <v/>
      </c>
      <c r="BJ147" s="738" t="str">
        <f t="shared" si="47"/>
        <v/>
      </c>
      <c r="BK147" s="730" t="str">
        <f t="shared" si="60"/>
        <v/>
      </c>
    </row>
    <row r="148" spans="31:63" ht="24.95" hidden="1" customHeight="1">
      <c r="AE148" s="488" t="str">
        <f t="shared" si="61"/>
        <v/>
      </c>
      <c r="AF148" s="739" t="str">
        <f t="shared" si="48"/>
        <v/>
      </c>
      <c r="AG148" s="739"/>
      <c r="AH148" s="739"/>
      <c r="AI148" s="720" t="str">
        <f t="shared" si="49"/>
        <v/>
      </c>
      <c r="AJ148" s="275"/>
      <c r="AK148" s="489" t="str">
        <f t="shared" si="50"/>
        <v/>
      </c>
      <c r="AL148" s="489" t="str">
        <f t="shared" si="51"/>
        <v/>
      </c>
      <c r="AM148" s="723" t="str">
        <f t="shared" si="52"/>
        <v/>
      </c>
      <c r="AN148" s="741" t="str">
        <f t="shared" si="38"/>
        <v/>
      </c>
      <c r="AO148" s="742" t="str">
        <f t="shared" si="53"/>
        <v/>
      </c>
      <c r="AP148" s="743" t="str">
        <f t="shared" si="54"/>
        <v/>
      </c>
      <c r="AQ148" s="742" t="str">
        <f t="shared" si="39"/>
        <v/>
      </c>
      <c r="AR148" s="743" t="str">
        <f t="shared" si="40"/>
        <v/>
      </c>
      <c r="AS148" s="728" t="str">
        <f t="shared" si="55"/>
        <v/>
      </c>
      <c r="AT148" s="717"/>
      <c r="AW148" s="732" t="str">
        <f t="shared" si="56"/>
        <v/>
      </c>
      <c r="AX148" s="487" t="str">
        <f t="shared" si="57"/>
        <v/>
      </c>
      <c r="AY148" s="487"/>
      <c r="AZ148" s="487"/>
      <c r="BA148" s="720" t="str">
        <f t="shared" si="58"/>
        <v/>
      </c>
      <c r="BB148" s="700"/>
      <c r="BC148" s="732" t="str">
        <f t="shared" si="41"/>
        <v/>
      </c>
      <c r="BD148" s="732" t="str">
        <f t="shared" si="42"/>
        <v/>
      </c>
      <c r="BE148" s="723" t="str">
        <f t="shared" si="59"/>
        <v/>
      </c>
      <c r="BF148" s="734" t="str">
        <f t="shared" si="43"/>
        <v/>
      </c>
      <c r="BG148" s="736" t="str">
        <f t="shared" si="44"/>
        <v/>
      </c>
      <c r="BH148" s="737" t="str">
        <f t="shared" si="45"/>
        <v/>
      </c>
      <c r="BI148" s="737" t="str">
        <f t="shared" si="46"/>
        <v/>
      </c>
      <c r="BJ148" s="738" t="str">
        <f t="shared" si="47"/>
        <v/>
      </c>
      <c r="BK148" s="730" t="str">
        <f t="shared" si="60"/>
        <v/>
      </c>
    </row>
    <row r="149" spans="31:63" ht="24.95" hidden="1" customHeight="1">
      <c r="AE149" s="488" t="str">
        <f t="shared" si="61"/>
        <v/>
      </c>
      <c r="AF149" s="739" t="str">
        <f t="shared" si="48"/>
        <v/>
      </c>
      <c r="AG149" s="739"/>
      <c r="AH149" s="739"/>
      <c r="AI149" s="720" t="str">
        <f t="shared" si="49"/>
        <v/>
      </c>
      <c r="AJ149" s="275"/>
      <c r="AK149" s="489" t="str">
        <f t="shared" si="50"/>
        <v/>
      </c>
      <c r="AL149" s="489" t="str">
        <f t="shared" si="51"/>
        <v/>
      </c>
      <c r="AM149" s="723" t="str">
        <f t="shared" si="52"/>
        <v/>
      </c>
      <c r="AN149" s="741" t="str">
        <f t="shared" si="38"/>
        <v/>
      </c>
      <c r="AO149" s="742" t="str">
        <f t="shared" si="53"/>
        <v/>
      </c>
      <c r="AP149" s="743" t="str">
        <f t="shared" si="54"/>
        <v/>
      </c>
      <c r="AQ149" s="742" t="str">
        <f t="shared" si="39"/>
        <v/>
      </c>
      <c r="AR149" s="743" t="str">
        <f t="shared" si="40"/>
        <v/>
      </c>
      <c r="AS149" s="728" t="str">
        <f t="shared" si="55"/>
        <v/>
      </c>
      <c r="AT149" s="717"/>
      <c r="AW149" s="732" t="str">
        <f t="shared" si="56"/>
        <v/>
      </c>
      <c r="AX149" s="487" t="str">
        <f t="shared" si="57"/>
        <v/>
      </c>
      <c r="AY149" s="487"/>
      <c r="AZ149" s="487"/>
      <c r="BA149" s="720" t="str">
        <f t="shared" si="58"/>
        <v/>
      </c>
      <c r="BB149" s="700"/>
      <c r="BC149" s="732" t="str">
        <f t="shared" si="41"/>
        <v/>
      </c>
      <c r="BD149" s="732" t="str">
        <f t="shared" si="42"/>
        <v/>
      </c>
      <c r="BE149" s="723" t="str">
        <f t="shared" si="59"/>
        <v/>
      </c>
      <c r="BF149" s="734" t="str">
        <f t="shared" si="43"/>
        <v/>
      </c>
      <c r="BG149" s="736" t="str">
        <f t="shared" si="44"/>
        <v/>
      </c>
      <c r="BH149" s="737" t="str">
        <f t="shared" si="45"/>
        <v/>
      </c>
      <c r="BI149" s="737" t="str">
        <f t="shared" si="46"/>
        <v/>
      </c>
      <c r="BJ149" s="738" t="str">
        <f t="shared" si="47"/>
        <v/>
      </c>
      <c r="BK149" s="730" t="str">
        <f t="shared" si="60"/>
        <v/>
      </c>
    </row>
    <row r="150" spans="31:63" ht="24.95" hidden="1" customHeight="1">
      <c r="AE150" s="488" t="str">
        <f t="shared" si="61"/>
        <v/>
      </c>
      <c r="AF150" s="739" t="str">
        <f t="shared" si="48"/>
        <v/>
      </c>
      <c r="AG150" s="739"/>
      <c r="AH150" s="739"/>
      <c r="AI150" s="720" t="str">
        <f t="shared" si="49"/>
        <v/>
      </c>
      <c r="AJ150" s="275"/>
      <c r="AK150" s="489" t="str">
        <f t="shared" si="50"/>
        <v/>
      </c>
      <c r="AL150" s="489" t="str">
        <f t="shared" si="51"/>
        <v/>
      </c>
      <c r="AM150" s="723" t="str">
        <f t="shared" si="52"/>
        <v/>
      </c>
      <c r="AN150" s="741" t="str">
        <f t="shared" si="38"/>
        <v/>
      </c>
      <c r="AO150" s="742" t="str">
        <f t="shared" si="53"/>
        <v/>
      </c>
      <c r="AP150" s="743" t="str">
        <f t="shared" si="54"/>
        <v/>
      </c>
      <c r="AQ150" s="742" t="str">
        <f t="shared" si="39"/>
        <v/>
      </c>
      <c r="AR150" s="743" t="str">
        <f t="shared" si="40"/>
        <v/>
      </c>
      <c r="AS150" s="728" t="str">
        <f t="shared" si="55"/>
        <v/>
      </c>
      <c r="AT150" s="717"/>
      <c r="AW150" s="732" t="str">
        <f t="shared" si="56"/>
        <v/>
      </c>
      <c r="AX150" s="487" t="str">
        <f t="shared" si="57"/>
        <v/>
      </c>
      <c r="AY150" s="487"/>
      <c r="AZ150" s="487"/>
      <c r="BA150" s="720" t="str">
        <f t="shared" si="58"/>
        <v/>
      </c>
      <c r="BB150" s="700"/>
      <c r="BC150" s="732" t="str">
        <f t="shared" si="41"/>
        <v/>
      </c>
      <c r="BD150" s="732" t="str">
        <f t="shared" si="42"/>
        <v/>
      </c>
      <c r="BE150" s="723" t="str">
        <f t="shared" si="59"/>
        <v/>
      </c>
      <c r="BF150" s="734" t="str">
        <f t="shared" si="43"/>
        <v/>
      </c>
      <c r="BG150" s="736" t="str">
        <f t="shared" si="44"/>
        <v/>
      </c>
      <c r="BH150" s="737" t="str">
        <f t="shared" si="45"/>
        <v/>
      </c>
      <c r="BI150" s="737" t="str">
        <f t="shared" si="46"/>
        <v/>
      </c>
      <c r="BJ150" s="738" t="str">
        <f t="shared" si="47"/>
        <v/>
      </c>
      <c r="BK150" s="730" t="str">
        <f t="shared" si="60"/>
        <v/>
      </c>
    </row>
    <row r="151" spans="31:63" ht="24.95" hidden="1" customHeight="1">
      <c r="AE151" s="488" t="str">
        <f t="shared" si="61"/>
        <v/>
      </c>
      <c r="AF151" s="739" t="str">
        <f t="shared" si="48"/>
        <v/>
      </c>
      <c r="AG151" s="739"/>
      <c r="AH151" s="739"/>
      <c r="AI151" s="720" t="str">
        <f t="shared" si="49"/>
        <v/>
      </c>
      <c r="AJ151" s="275"/>
      <c r="AK151" s="489" t="str">
        <f t="shared" si="50"/>
        <v/>
      </c>
      <c r="AL151" s="489" t="str">
        <f t="shared" si="51"/>
        <v/>
      </c>
      <c r="AM151" s="723" t="str">
        <f t="shared" si="52"/>
        <v/>
      </c>
      <c r="AN151" s="741" t="str">
        <f t="shared" si="38"/>
        <v/>
      </c>
      <c r="AO151" s="742" t="str">
        <f t="shared" si="53"/>
        <v/>
      </c>
      <c r="AP151" s="743" t="str">
        <f t="shared" si="54"/>
        <v/>
      </c>
      <c r="AQ151" s="742" t="str">
        <f t="shared" si="39"/>
        <v/>
      </c>
      <c r="AR151" s="743" t="str">
        <f t="shared" si="40"/>
        <v/>
      </c>
      <c r="AS151" s="728" t="str">
        <f t="shared" si="55"/>
        <v/>
      </c>
      <c r="AT151" s="717"/>
      <c r="AW151" s="732" t="str">
        <f t="shared" si="56"/>
        <v/>
      </c>
      <c r="AX151" s="487" t="str">
        <f t="shared" si="57"/>
        <v/>
      </c>
      <c r="AY151" s="487"/>
      <c r="AZ151" s="487"/>
      <c r="BA151" s="720" t="str">
        <f t="shared" si="58"/>
        <v/>
      </c>
      <c r="BB151" s="700"/>
      <c r="BC151" s="732" t="str">
        <f t="shared" si="41"/>
        <v/>
      </c>
      <c r="BD151" s="732" t="str">
        <f t="shared" si="42"/>
        <v/>
      </c>
      <c r="BE151" s="723" t="str">
        <f t="shared" si="59"/>
        <v/>
      </c>
      <c r="BF151" s="734" t="str">
        <f t="shared" si="43"/>
        <v/>
      </c>
      <c r="BG151" s="736" t="str">
        <f t="shared" si="44"/>
        <v/>
      </c>
      <c r="BH151" s="737" t="str">
        <f t="shared" si="45"/>
        <v/>
      </c>
      <c r="BI151" s="737" t="str">
        <f t="shared" si="46"/>
        <v/>
      </c>
      <c r="BJ151" s="738" t="str">
        <f t="shared" si="47"/>
        <v/>
      </c>
      <c r="BK151" s="730" t="str">
        <f t="shared" si="60"/>
        <v/>
      </c>
    </row>
    <row r="152" spans="31:63" ht="24.95" hidden="1" customHeight="1">
      <c r="AE152" s="488" t="str">
        <f t="shared" si="61"/>
        <v/>
      </c>
      <c r="AF152" s="739" t="str">
        <f t="shared" si="48"/>
        <v/>
      </c>
      <c r="AG152" s="739"/>
      <c r="AH152" s="739"/>
      <c r="AI152" s="720" t="str">
        <f t="shared" si="49"/>
        <v/>
      </c>
      <c r="AJ152" s="275"/>
      <c r="AK152" s="489" t="str">
        <f t="shared" si="50"/>
        <v/>
      </c>
      <c r="AL152" s="489" t="str">
        <f t="shared" si="51"/>
        <v/>
      </c>
      <c r="AM152" s="723" t="str">
        <f t="shared" si="52"/>
        <v/>
      </c>
      <c r="AN152" s="741" t="str">
        <f t="shared" si="38"/>
        <v/>
      </c>
      <c r="AO152" s="742" t="str">
        <f t="shared" si="53"/>
        <v/>
      </c>
      <c r="AP152" s="743" t="str">
        <f t="shared" si="54"/>
        <v/>
      </c>
      <c r="AQ152" s="742" t="str">
        <f t="shared" si="39"/>
        <v/>
      </c>
      <c r="AR152" s="743" t="str">
        <f t="shared" si="40"/>
        <v/>
      </c>
      <c r="AS152" s="728" t="str">
        <f t="shared" si="55"/>
        <v/>
      </c>
      <c r="AT152" s="717"/>
      <c r="AW152" s="732" t="str">
        <f t="shared" si="56"/>
        <v/>
      </c>
      <c r="AX152" s="487" t="str">
        <f t="shared" si="57"/>
        <v/>
      </c>
      <c r="AY152" s="487"/>
      <c r="AZ152" s="487"/>
      <c r="BA152" s="720" t="str">
        <f t="shared" si="58"/>
        <v/>
      </c>
      <c r="BB152" s="700"/>
      <c r="BC152" s="732" t="str">
        <f t="shared" si="41"/>
        <v/>
      </c>
      <c r="BD152" s="732" t="str">
        <f t="shared" si="42"/>
        <v/>
      </c>
      <c r="BE152" s="723" t="str">
        <f t="shared" si="59"/>
        <v/>
      </c>
      <c r="BF152" s="734" t="str">
        <f t="shared" si="43"/>
        <v/>
      </c>
      <c r="BG152" s="736" t="str">
        <f t="shared" si="44"/>
        <v/>
      </c>
      <c r="BH152" s="737" t="str">
        <f t="shared" si="45"/>
        <v/>
      </c>
      <c r="BI152" s="737" t="str">
        <f t="shared" si="46"/>
        <v/>
      </c>
      <c r="BJ152" s="738" t="str">
        <f t="shared" si="47"/>
        <v/>
      </c>
      <c r="BK152" s="730" t="str">
        <f t="shared" si="60"/>
        <v/>
      </c>
    </row>
    <row r="153" spans="31:63" ht="24.95" hidden="1" customHeight="1">
      <c r="AE153" s="488" t="str">
        <f t="shared" si="61"/>
        <v/>
      </c>
      <c r="AF153" s="739" t="str">
        <f t="shared" si="48"/>
        <v/>
      </c>
      <c r="AG153" s="739"/>
      <c r="AH153" s="739"/>
      <c r="AI153" s="720" t="str">
        <f t="shared" si="49"/>
        <v/>
      </c>
      <c r="AJ153" s="275"/>
      <c r="AK153" s="489" t="str">
        <f t="shared" si="50"/>
        <v/>
      </c>
      <c r="AL153" s="489" t="str">
        <f t="shared" si="51"/>
        <v/>
      </c>
      <c r="AM153" s="723" t="str">
        <f t="shared" si="52"/>
        <v/>
      </c>
      <c r="AN153" s="741" t="str">
        <f t="shared" si="38"/>
        <v/>
      </c>
      <c r="AO153" s="742" t="str">
        <f t="shared" si="53"/>
        <v/>
      </c>
      <c r="AP153" s="743" t="str">
        <f t="shared" si="54"/>
        <v/>
      </c>
      <c r="AQ153" s="742" t="str">
        <f t="shared" si="39"/>
        <v/>
      </c>
      <c r="AR153" s="743" t="str">
        <f t="shared" si="40"/>
        <v/>
      </c>
      <c r="AS153" s="728" t="str">
        <f t="shared" si="55"/>
        <v/>
      </c>
      <c r="AT153" s="717"/>
      <c r="AW153" s="732" t="str">
        <f t="shared" si="56"/>
        <v/>
      </c>
      <c r="AX153" s="487" t="str">
        <f t="shared" si="57"/>
        <v/>
      </c>
      <c r="AY153" s="487"/>
      <c r="AZ153" s="487"/>
      <c r="BA153" s="720" t="str">
        <f t="shared" si="58"/>
        <v/>
      </c>
      <c r="BB153" s="700"/>
      <c r="BC153" s="732" t="str">
        <f t="shared" si="41"/>
        <v/>
      </c>
      <c r="BD153" s="732" t="str">
        <f t="shared" si="42"/>
        <v/>
      </c>
      <c r="BE153" s="723" t="str">
        <f t="shared" si="59"/>
        <v/>
      </c>
      <c r="BF153" s="734" t="str">
        <f t="shared" si="43"/>
        <v/>
      </c>
      <c r="BG153" s="736" t="str">
        <f t="shared" si="44"/>
        <v/>
      </c>
      <c r="BH153" s="737" t="str">
        <f t="shared" si="45"/>
        <v/>
      </c>
      <c r="BI153" s="737" t="str">
        <f t="shared" si="46"/>
        <v/>
      </c>
      <c r="BJ153" s="738" t="str">
        <f t="shared" si="47"/>
        <v/>
      </c>
      <c r="BK153" s="730" t="str">
        <f t="shared" si="60"/>
        <v/>
      </c>
    </row>
    <row r="154" spans="31:63" ht="24.95" hidden="1" customHeight="1">
      <c r="AE154" s="488" t="str">
        <f t="shared" si="61"/>
        <v/>
      </c>
      <c r="AF154" s="739" t="str">
        <f t="shared" si="48"/>
        <v/>
      </c>
      <c r="AG154" s="739"/>
      <c r="AH154" s="739"/>
      <c r="AI154" s="720" t="str">
        <f t="shared" si="49"/>
        <v/>
      </c>
      <c r="AJ154" s="275"/>
      <c r="AK154" s="489" t="str">
        <f t="shared" si="50"/>
        <v/>
      </c>
      <c r="AL154" s="489" t="str">
        <f t="shared" si="51"/>
        <v/>
      </c>
      <c r="AM154" s="723" t="str">
        <f t="shared" si="52"/>
        <v/>
      </c>
      <c r="AN154" s="741" t="str">
        <f t="shared" si="38"/>
        <v/>
      </c>
      <c r="AO154" s="742" t="str">
        <f t="shared" si="53"/>
        <v/>
      </c>
      <c r="AP154" s="743" t="str">
        <f t="shared" si="54"/>
        <v/>
      </c>
      <c r="AQ154" s="742" t="str">
        <f t="shared" si="39"/>
        <v/>
      </c>
      <c r="AR154" s="743" t="str">
        <f t="shared" si="40"/>
        <v/>
      </c>
      <c r="AS154" s="728" t="str">
        <f t="shared" si="55"/>
        <v/>
      </c>
      <c r="AT154" s="717"/>
      <c r="AW154" s="732" t="str">
        <f t="shared" si="56"/>
        <v/>
      </c>
      <c r="AX154" s="487" t="str">
        <f t="shared" si="57"/>
        <v/>
      </c>
      <c r="AY154" s="487"/>
      <c r="AZ154" s="487"/>
      <c r="BA154" s="720" t="str">
        <f t="shared" si="58"/>
        <v/>
      </c>
      <c r="BB154" s="700"/>
      <c r="BC154" s="732" t="str">
        <f t="shared" si="41"/>
        <v/>
      </c>
      <c r="BD154" s="732" t="str">
        <f t="shared" si="42"/>
        <v/>
      </c>
      <c r="BE154" s="723" t="str">
        <f t="shared" si="59"/>
        <v/>
      </c>
      <c r="BF154" s="734" t="str">
        <f t="shared" si="43"/>
        <v/>
      </c>
      <c r="BG154" s="736" t="str">
        <f t="shared" si="44"/>
        <v/>
      </c>
      <c r="BH154" s="737" t="str">
        <f t="shared" si="45"/>
        <v/>
      </c>
      <c r="BI154" s="737" t="str">
        <f t="shared" si="46"/>
        <v/>
      </c>
      <c r="BJ154" s="738" t="str">
        <f t="shared" si="47"/>
        <v/>
      </c>
      <c r="BK154" s="730" t="str">
        <f t="shared" si="60"/>
        <v/>
      </c>
    </row>
    <row r="155" spans="31:63" ht="24.95" hidden="1" customHeight="1">
      <c r="AE155" s="488" t="str">
        <f t="shared" si="61"/>
        <v/>
      </c>
      <c r="AF155" s="739" t="str">
        <f t="shared" si="48"/>
        <v/>
      </c>
      <c r="AG155" s="739"/>
      <c r="AH155" s="739"/>
      <c r="AI155" s="720" t="str">
        <f t="shared" si="49"/>
        <v/>
      </c>
      <c r="AJ155" s="275"/>
      <c r="AK155" s="489" t="str">
        <f t="shared" si="50"/>
        <v/>
      </c>
      <c r="AL155" s="489" t="str">
        <f t="shared" si="51"/>
        <v/>
      </c>
      <c r="AM155" s="723" t="str">
        <f t="shared" si="52"/>
        <v/>
      </c>
      <c r="AN155" s="741" t="str">
        <f t="shared" si="38"/>
        <v/>
      </c>
      <c r="AO155" s="742" t="str">
        <f t="shared" si="53"/>
        <v/>
      </c>
      <c r="AP155" s="743" t="str">
        <f t="shared" si="54"/>
        <v/>
      </c>
      <c r="AQ155" s="742" t="str">
        <f t="shared" si="39"/>
        <v/>
      </c>
      <c r="AR155" s="743" t="str">
        <f t="shared" si="40"/>
        <v/>
      </c>
      <c r="AS155" s="728" t="str">
        <f t="shared" si="55"/>
        <v/>
      </c>
      <c r="AT155" s="717"/>
      <c r="AW155" s="732" t="str">
        <f t="shared" si="56"/>
        <v/>
      </c>
      <c r="AX155" s="487" t="str">
        <f t="shared" si="57"/>
        <v/>
      </c>
      <c r="AY155" s="487"/>
      <c r="AZ155" s="487"/>
      <c r="BA155" s="720" t="str">
        <f t="shared" si="58"/>
        <v/>
      </c>
      <c r="BB155" s="700"/>
      <c r="BC155" s="732" t="str">
        <f t="shared" si="41"/>
        <v/>
      </c>
      <c r="BD155" s="732" t="str">
        <f t="shared" si="42"/>
        <v/>
      </c>
      <c r="BE155" s="723" t="str">
        <f t="shared" si="59"/>
        <v/>
      </c>
      <c r="BF155" s="734" t="str">
        <f t="shared" si="43"/>
        <v/>
      </c>
      <c r="BG155" s="736" t="str">
        <f t="shared" si="44"/>
        <v/>
      </c>
      <c r="BH155" s="737" t="str">
        <f t="shared" si="45"/>
        <v/>
      </c>
      <c r="BI155" s="737" t="str">
        <f t="shared" si="46"/>
        <v/>
      </c>
      <c r="BJ155" s="738" t="str">
        <f t="shared" si="47"/>
        <v/>
      </c>
      <c r="BK155" s="730" t="str">
        <f t="shared" si="60"/>
        <v/>
      </c>
    </row>
    <row r="156" spans="31:63" ht="24.95" hidden="1" customHeight="1">
      <c r="AE156" s="488" t="str">
        <f t="shared" si="61"/>
        <v/>
      </c>
      <c r="AF156" s="739" t="str">
        <f t="shared" si="48"/>
        <v/>
      </c>
      <c r="AG156" s="739"/>
      <c r="AH156" s="739"/>
      <c r="AI156" s="720" t="str">
        <f t="shared" si="49"/>
        <v/>
      </c>
      <c r="AJ156" s="275"/>
      <c r="AK156" s="489" t="str">
        <f t="shared" si="50"/>
        <v/>
      </c>
      <c r="AL156" s="489" t="str">
        <f t="shared" si="51"/>
        <v/>
      </c>
      <c r="AM156" s="723" t="str">
        <f t="shared" si="52"/>
        <v/>
      </c>
      <c r="AN156" s="741" t="str">
        <f t="shared" si="38"/>
        <v/>
      </c>
      <c r="AO156" s="742" t="str">
        <f t="shared" si="53"/>
        <v/>
      </c>
      <c r="AP156" s="743" t="str">
        <f t="shared" si="54"/>
        <v/>
      </c>
      <c r="AQ156" s="742" t="str">
        <f t="shared" si="39"/>
        <v/>
      </c>
      <c r="AR156" s="743" t="str">
        <f t="shared" si="40"/>
        <v/>
      </c>
      <c r="AS156" s="728" t="str">
        <f t="shared" si="55"/>
        <v/>
      </c>
      <c r="AT156" s="717"/>
      <c r="AW156" s="732" t="str">
        <f t="shared" si="56"/>
        <v/>
      </c>
      <c r="AX156" s="487" t="str">
        <f t="shared" si="57"/>
        <v/>
      </c>
      <c r="AY156" s="487"/>
      <c r="AZ156" s="487"/>
      <c r="BA156" s="720" t="str">
        <f t="shared" si="58"/>
        <v/>
      </c>
      <c r="BB156" s="700"/>
      <c r="BC156" s="732" t="str">
        <f t="shared" si="41"/>
        <v/>
      </c>
      <c r="BD156" s="732" t="str">
        <f t="shared" si="42"/>
        <v/>
      </c>
      <c r="BE156" s="723" t="str">
        <f t="shared" si="59"/>
        <v/>
      </c>
      <c r="BF156" s="734" t="str">
        <f t="shared" si="43"/>
        <v/>
      </c>
      <c r="BG156" s="736" t="str">
        <f t="shared" si="44"/>
        <v/>
      </c>
      <c r="BH156" s="737" t="str">
        <f t="shared" si="45"/>
        <v/>
      </c>
      <c r="BI156" s="737" t="str">
        <f t="shared" si="46"/>
        <v/>
      </c>
      <c r="BJ156" s="738" t="str">
        <f t="shared" si="47"/>
        <v/>
      </c>
      <c r="BK156" s="730" t="str">
        <f t="shared" si="60"/>
        <v/>
      </c>
    </row>
    <row r="157" spans="31:63" ht="24.95" hidden="1" customHeight="1">
      <c r="AE157" s="488" t="str">
        <f t="shared" si="61"/>
        <v/>
      </c>
      <c r="AF157" s="739" t="str">
        <f t="shared" si="48"/>
        <v/>
      </c>
      <c r="AG157" s="739"/>
      <c r="AH157" s="739"/>
      <c r="AI157" s="720" t="str">
        <f t="shared" si="49"/>
        <v/>
      </c>
      <c r="AJ157" s="275"/>
      <c r="AK157" s="489" t="str">
        <f t="shared" si="50"/>
        <v/>
      </c>
      <c r="AL157" s="489" t="str">
        <f t="shared" si="51"/>
        <v/>
      </c>
      <c r="AM157" s="723" t="str">
        <f t="shared" si="52"/>
        <v/>
      </c>
      <c r="AN157" s="741" t="str">
        <f t="shared" ref="AN157:AN188" si="62">IF(AI157="","",quote_currency_symbol)</f>
        <v/>
      </c>
      <c r="AO157" s="742" t="str">
        <f t="shared" si="53"/>
        <v/>
      </c>
      <c r="AP157" s="743" t="str">
        <f t="shared" si="54"/>
        <v/>
      </c>
      <c r="AQ157" s="742" t="str">
        <f t="shared" ref="AQ157:AQ188" si="63">IF(M40&lt;&gt;"",T40,"")</f>
        <v/>
      </c>
      <c r="AR157" s="743" t="str">
        <f t="shared" ref="AR157:AR188" si="64">IF(AI157="","",quote_currency_symbol)</f>
        <v/>
      </c>
      <c r="AS157" s="728" t="str">
        <f t="shared" si="55"/>
        <v/>
      </c>
      <c r="AW157" s="732" t="str">
        <f t="shared" si="56"/>
        <v/>
      </c>
      <c r="AX157" s="487" t="str">
        <f t="shared" si="57"/>
        <v/>
      </c>
      <c r="AY157" s="487"/>
      <c r="AZ157" s="487"/>
      <c r="BA157" s="720" t="str">
        <f t="shared" si="58"/>
        <v/>
      </c>
      <c r="BB157" s="700"/>
      <c r="BC157" s="732" t="str">
        <f t="shared" ref="BC157:BC188" si="65">IF(N40&gt;0,N40,"")</f>
        <v/>
      </c>
      <c r="BD157" s="732" t="str">
        <f t="shared" ref="BD157:BD188" si="66">IF(O40&lt;&gt;"",O40,"")</f>
        <v/>
      </c>
      <c r="BE157" s="723" t="str">
        <f t="shared" si="59"/>
        <v/>
      </c>
      <c r="BF157" s="734" t="str">
        <f t="shared" ref="BF157:BF188" si="67">IF(BA157="","",quote_currency_symbol)</f>
        <v/>
      </c>
      <c r="BG157" s="736" t="str">
        <f t="shared" ref="BG157:BG188" si="68">IF(M40&lt;&gt;"",R40,"")</f>
        <v/>
      </c>
      <c r="BH157" s="737" t="str">
        <f t="shared" ref="BH157:BH188" si="69">IF(BA157="","",quote_currency_symbol)</f>
        <v/>
      </c>
      <c r="BI157" s="737" t="str">
        <f t="shared" ref="BI157:BI188" si="70">IF(M40&lt;&gt;"",T40,"")</f>
        <v/>
      </c>
      <c r="BJ157" s="738" t="str">
        <f t="shared" ref="BJ157:BJ188" si="71">IF(BA157="","",quote_currency_symbol)</f>
        <v/>
      </c>
      <c r="BK157" s="730" t="str">
        <f t="shared" si="60"/>
        <v/>
      </c>
    </row>
    <row r="158" spans="31:63" ht="24.95" hidden="1" customHeight="1">
      <c r="AE158" s="488" t="str">
        <f t="shared" si="61"/>
        <v/>
      </c>
      <c r="AF158" s="739" t="str">
        <f t="shared" si="48"/>
        <v/>
      </c>
      <c r="AG158" s="739"/>
      <c r="AH158" s="739"/>
      <c r="AI158" s="720" t="str">
        <f t="shared" si="49"/>
        <v/>
      </c>
      <c r="AJ158" s="275"/>
      <c r="AK158" s="489" t="str">
        <f t="shared" si="50"/>
        <v/>
      </c>
      <c r="AL158" s="489" t="str">
        <f t="shared" si="51"/>
        <v/>
      </c>
      <c r="AM158" s="723" t="str">
        <f t="shared" si="52"/>
        <v/>
      </c>
      <c r="AN158" s="741" t="str">
        <f t="shared" si="62"/>
        <v/>
      </c>
      <c r="AO158" s="742" t="str">
        <f t="shared" si="53"/>
        <v/>
      </c>
      <c r="AP158" s="743" t="str">
        <f t="shared" ref="AP158:AP189" si="72">IF(AI158="","",quote_currency_symbol)</f>
        <v/>
      </c>
      <c r="AQ158" s="742" t="str">
        <f t="shared" si="63"/>
        <v/>
      </c>
      <c r="AR158" s="743" t="str">
        <f t="shared" si="64"/>
        <v/>
      </c>
      <c r="AS158" s="728" t="str">
        <f t="shared" si="55"/>
        <v/>
      </c>
      <c r="AW158" s="732" t="str">
        <f t="shared" ref="AW158:AW189" si="73">IF(M41="","",AW157+1)</f>
        <v/>
      </c>
      <c r="AX158" s="487" t="str">
        <f t="shared" si="57"/>
        <v/>
      </c>
      <c r="AY158" s="487"/>
      <c r="AZ158" s="487"/>
      <c r="BA158" s="720" t="str">
        <f t="shared" si="58"/>
        <v/>
      </c>
      <c r="BB158" s="700"/>
      <c r="BC158" s="732" t="str">
        <f t="shared" si="65"/>
        <v/>
      </c>
      <c r="BD158" s="732" t="str">
        <f t="shared" si="66"/>
        <v/>
      </c>
      <c r="BE158" s="723" t="str">
        <f t="shared" si="59"/>
        <v/>
      </c>
      <c r="BF158" s="734" t="str">
        <f t="shared" si="67"/>
        <v/>
      </c>
      <c r="BG158" s="736" t="str">
        <f t="shared" si="68"/>
        <v/>
      </c>
      <c r="BH158" s="737" t="str">
        <f t="shared" si="69"/>
        <v/>
      </c>
      <c r="BI158" s="737" t="str">
        <f t="shared" si="70"/>
        <v/>
      </c>
      <c r="BJ158" s="738" t="str">
        <f t="shared" si="71"/>
        <v/>
      </c>
      <c r="BK158" s="730" t="str">
        <f t="shared" si="60"/>
        <v/>
      </c>
    </row>
    <row r="159" spans="31:63" ht="24.95" hidden="1" customHeight="1">
      <c r="AE159" s="488" t="str">
        <f t="shared" si="61"/>
        <v/>
      </c>
      <c r="AF159" s="739" t="str">
        <f t="shared" si="48"/>
        <v/>
      </c>
      <c r="AG159" s="739"/>
      <c r="AH159" s="739"/>
      <c r="AI159" s="720" t="str">
        <f t="shared" si="49"/>
        <v/>
      </c>
      <c r="AJ159" s="275"/>
      <c r="AK159" s="489" t="str">
        <f t="shared" si="50"/>
        <v/>
      </c>
      <c r="AL159" s="489" t="str">
        <f t="shared" si="51"/>
        <v/>
      </c>
      <c r="AM159" s="723" t="str">
        <f t="shared" si="52"/>
        <v/>
      </c>
      <c r="AN159" s="741" t="str">
        <f t="shared" si="62"/>
        <v/>
      </c>
      <c r="AO159" s="742" t="str">
        <f t="shared" si="53"/>
        <v/>
      </c>
      <c r="AP159" s="743" t="str">
        <f t="shared" si="72"/>
        <v/>
      </c>
      <c r="AQ159" s="742" t="str">
        <f t="shared" si="63"/>
        <v/>
      </c>
      <c r="AR159" s="743" t="str">
        <f t="shared" si="64"/>
        <v/>
      </c>
      <c r="AS159" s="728" t="str">
        <f t="shared" si="55"/>
        <v/>
      </c>
      <c r="AW159" s="732" t="str">
        <f t="shared" si="73"/>
        <v/>
      </c>
      <c r="AX159" s="487" t="str">
        <f t="shared" si="57"/>
        <v/>
      </c>
      <c r="AY159" s="487"/>
      <c r="AZ159" s="487"/>
      <c r="BA159" s="720" t="str">
        <f t="shared" si="58"/>
        <v/>
      </c>
      <c r="BB159" s="700"/>
      <c r="BC159" s="732" t="str">
        <f t="shared" si="65"/>
        <v/>
      </c>
      <c r="BD159" s="732" t="str">
        <f t="shared" si="66"/>
        <v/>
      </c>
      <c r="BE159" s="723" t="str">
        <f t="shared" si="59"/>
        <v/>
      </c>
      <c r="BF159" s="734" t="str">
        <f t="shared" si="67"/>
        <v/>
      </c>
      <c r="BG159" s="736" t="str">
        <f t="shared" si="68"/>
        <v/>
      </c>
      <c r="BH159" s="737" t="str">
        <f t="shared" si="69"/>
        <v/>
      </c>
      <c r="BI159" s="737" t="str">
        <f t="shared" si="70"/>
        <v/>
      </c>
      <c r="BJ159" s="738" t="str">
        <f t="shared" si="71"/>
        <v/>
      </c>
      <c r="BK159" s="730" t="str">
        <f t="shared" si="60"/>
        <v/>
      </c>
    </row>
    <row r="160" spans="31:63" ht="24.95" hidden="1" customHeight="1">
      <c r="AE160" s="488" t="str">
        <f t="shared" si="61"/>
        <v/>
      </c>
      <c r="AF160" s="739" t="str">
        <f t="shared" si="48"/>
        <v/>
      </c>
      <c r="AG160" s="739"/>
      <c r="AH160" s="739"/>
      <c r="AI160" s="720" t="str">
        <f t="shared" si="49"/>
        <v/>
      </c>
      <c r="AJ160" s="275"/>
      <c r="AK160" s="489" t="str">
        <f t="shared" si="50"/>
        <v/>
      </c>
      <c r="AL160" s="489" t="str">
        <f t="shared" si="51"/>
        <v/>
      </c>
      <c r="AM160" s="723" t="str">
        <f t="shared" si="52"/>
        <v/>
      </c>
      <c r="AN160" s="741" t="str">
        <f t="shared" si="62"/>
        <v/>
      </c>
      <c r="AO160" s="742" t="str">
        <f t="shared" si="53"/>
        <v/>
      </c>
      <c r="AP160" s="743" t="str">
        <f t="shared" si="72"/>
        <v/>
      </c>
      <c r="AQ160" s="742" t="str">
        <f t="shared" si="63"/>
        <v/>
      </c>
      <c r="AR160" s="743" t="str">
        <f t="shared" si="64"/>
        <v/>
      </c>
      <c r="AS160" s="728" t="str">
        <f t="shared" si="55"/>
        <v/>
      </c>
      <c r="AW160" s="732" t="str">
        <f t="shared" si="73"/>
        <v/>
      </c>
      <c r="AX160" s="487" t="str">
        <f t="shared" si="57"/>
        <v/>
      </c>
      <c r="AY160" s="487"/>
      <c r="AZ160" s="487"/>
      <c r="BA160" s="720" t="str">
        <f t="shared" si="58"/>
        <v/>
      </c>
      <c r="BB160" s="700"/>
      <c r="BC160" s="732" t="str">
        <f t="shared" si="65"/>
        <v/>
      </c>
      <c r="BD160" s="732" t="str">
        <f t="shared" si="66"/>
        <v/>
      </c>
      <c r="BE160" s="723" t="str">
        <f t="shared" si="59"/>
        <v/>
      </c>
      <c r="BF160" s="734" t="str">
        <f t="shared" si="67"/>
        <v/>
      </c>
      <c r="BG160" s="736" t="str">
        <f t="shared" si="68"/>
        <v/>
      </c>
      <c r="BH160" s="737" t="str">
        <f t="shared" si="69"/>
        <v/>
      </c>
      <c r="BI160" s="737" t="str">
        <f t="shared" si="70"/>
        <v/>
      </c>
      <c r="BJ160" s="738" t="str">
        <f t="shared" si="71"/>
        <v/>
      </c>
      <c r="BK160" s="730" t="str">
        <f t="shared" si="60"/>
        <v/>
      </c>
    </row>
    <row r="161" spans="31:63" ht="24.95" hidden="1" customHeight="1">
      <c r="AE161" s="488" t="str">
        <f t="shared" si="61"/>
        <v/>
      </c>
      <c r="AF161" s="739" t="str">
        <f t="shared" si="48"/>
        <v/>
      </c>
      <c r="AG161" s="739"/>
      <c r="AH161" s="739"/>
      <c r="AI161" s="720" t="str">
        <f t="shared" si="49"/>
        <v/>
      </c>
      <c r="AJ161" s="275"/>
      <c r="AK161" s="489" t="str">
        <f t="shared" si="50"/>
        <v/>
      </c>
      <c r="AL161" s="489" t="str">
        <f t="shared" si="51"/>
        <v/>
      </c>
      <c r="AM161" s="723" t="str">
        <f t="shared" si="52"/>
        <v/>
      </c>
      <c r="AN161" s="741" t="str">
        <f t="shared" si="62"/>
        <v/>
      </c>
      <c r="AO161" s="742" t="str">
        <f t="shared" si="53"/>
        <v/>
      </c>
      <c r="AP161" s="743" t="str">
        <f t="shared" si="72"/>
        <v/>
      </c>
      <c r="AQ161" s="742" t="str">
        <f t="shared" si="63"/>
        <v/>
      </c>
      <c r="AR161" s="743" t="str">
        <f t="shared" si="64"/>
        <v/>
      </c>
      <c r="AS161" s="728" t="str">
        <f t="shared" si="55"/>
        <v/>
      </c>
      <c r="AW161" s="732" t="str">
        <f t="shared" si="73"/>
        <v/>
      </c>
      <c r="AX161" s="487" t="str">
        <f t="shared" si="57"/>
        <v/>
      </c>
      <c r="AY161" s="487"/>
      <c r="AZ161" s="487"/>
      <c r="BA161" s="720" t="str">
        <f t="shared" si="58"/>
        <v/>
      </c>
      <c r="BB161" s="700"/>
      <c r="BC161" s="732" t="str">
        <f t="shared" si="65"/>
        <v/>
      </c>
      <c r="BD161" s="732" t="str">
        <f t="shared" si="66"/>
        <v/>
      </c>
      <c r="BE161" s="723" t="str">
        <f t="shared" si="59"/>
        <v/>
      </c>
      <c r="BF161" s="734" t="str">
        <f t="shared" si="67"/>
        <v/>
      </c>
      <c r="BG161" s="736" t="str">
        <f t="shared" si="68"/>
        <v/>
      </c>
      <c r="BH161" s="737" t="str">
        <f t="shared" si="69"/>
        <v/>
      </c>
      <c r="BI161" s="737" t="str">
        <f t="shared" si="70"/>
        <v/>
      </c>
      <c r="BJ161" s="738" t="str">
        <f t="shared" si="71"/>
        <v/>
      </c>
      <c r="BK161" s="730" t="str">
        <f t="shared" si="60"/>
        <v/>
      </c>
    </row>
    <row r="162" spans="31:63" ht="24.95" hidden="1" customHeight="1">
      <c r="AE162" s="488" t="str">
        <f t="shared" si="61"/>
        <v/>
      </c>
      <c r="AF162" s="739" t="str">
        <f t="shared" si="48"/>
        <v/>
      </c>
      <c r="AG162" s="739"/>
      <c r="AH162" s="739"/>
      <c r="AI162" s="720" t="str">
        <f t="shared" si="49"/>
        <v/>
      </c>
      <c r="AJ162" s="275"/>
      <c r="AK162" s="489" t="str">
        <f t="shared" si="50"/>
        <v/>
      </c>
      <c r="AL162" s="489" t="str">
        <f t="shared" si="51"/>
        <v/>
      </c>
      <c r="AM162" s="723" t="str">
        <f t="shared" si="52"/>
        <v/>
      </c>
      <c r="AN162" s="741" t="str">
        <f t="shared" si="62"/>
        <v/>
      </c>
      <c r="AO162" s="742" t="str">
        <f t="shared" si="53"/>
        <v/>
      </c>
      <c r="AP162" s="743" t="str">
        <f t="shared" si="72"/>
        <v/>
      </c>
      <c r="AQ162" s="742" t="str">
        <f t="shared" si="63"/>
        <v/>
      </c>
      <c r="AR162" s="743" t="str">
        <f t="shared" si="64"/>
        <v/>
      </c>
      <c r="AS162" s="728" t="str">
        <f t="shared" si="55"/>
        <v/>
      </c>
      <c r="AW162" s="732" t="str">
        <f t="shared" si="73"/>
        <v/>
      </c>
      <c r="AX162" s="487" t="str">
        <f t="shared" si="57"/>
        <v/>
      </c>
      <c r="AY162" s="487"/>
      <c r="AZ162" s="487"/>
      <c r="BA162" s="720" t="str">
        <f t="shared" si="58"/>
        <v/>
      </c>
      <c r="BB162" s="700"/>
      <c r="BC162" s="732" t="str">
        <f t="shared" si="65"/>
        <v/>
      </c>
      <c r="BD162" s="732" t="str">
        <f t="shared" si="66"/>
        <v/>
      </c>
      <c r="BE162" s="723" t="str">
        <f t="shared" si="59"/>
        <v/>
      </c>
      <c r="BF162" s="734" t="str">
        <f t="shared" si="67"/>
        <v/>
      </c>
      <c r="BG162" s="736" t="str">
        <f t="shared" si="68"/>
        <v/>
      </c>
      <c r="BH162" s="737" t="str">
        <f t="shared" si="69"/>
        <v/>
      </c>
      <c r="BI162" s="737" t="str">
        <f t="shared" si="70"/>
        <v/>
      </c>
      <c r="BJ162" s="738" t="str">
        <f t="shared" si="71"/>
        <v/>
      </c>
      <c r="BK162" s="730" t="str">
        <f t="shared" si="60"/>
        <v/>
      </c>
    </row>
    <row r="163" spans="31:63" ht="24.95" hidden="1" customHeight="1">
      <c r="AE163" s="488" t="str">
        <f t="shared" si="61"/>
        <v/>
      </c>
      <c r="AF163" s="739" t="str">
        <f t="shared" si="48"/>
        <v/>
      </c>
      <c r="AG163" s="739"/>
      <c r="AH163" s="739"/>
      <c r="AI163" s="720" t="str">
        <f t="shared" si="49"/>
        <v/>
      </c>
      <c r="AJ163" s="275"/>
      <c r="AK163" s="489" t="str">
        <f t="shared" si="50"/>
        <v/>
      </c>
      <c r="AL163" s="489" t="str">
        <f t="shared" si="51"/>
        <v/>
      </c>
      <c r="AM163" s="723" t="str">
        <f t="shared" si="52"/>
        <v/>
      </c>
      <c r="AN163" s="741" t="str">
        <f t="shared" si="62"/>
        <v/>
      </c>
      <c r="AO163" s="742" t="str">
        <f t="shared" si="53"/>
        <v/>
      </c>
      <c r="AP163" s="743" t="str">
        <f t="shared" si="72"/>
        <v/>
      </c>
      <c r="AQ163" s="742" t="str">
        <f t="shared" si="63"/>
        <v/>
      </c>
      <c r="AR163" s="743" t="str">
        <f t="shared" si="64"/>
        <v/>
      </c>
      <c r="AS163" s="728" t="str">
        <f t="shared" si="55"/>
        <v/>
      </c>
      <c r="AW163" s="732" t="str">
        <f t="shared" si="73"/>
        <v/>
      </c>
      <c r="AX163" s="487" t="str">
        <f t="shared" si="57"/>
        <v/>
      </c>
      <c r="AY163" s="487"/>
      <c r="AZ163" s="487"/>
      <c r="BA163" s="720" t="str">
        <f t="shared" si="58"/>
        <v/>
      </c>
      <c r="BB163" s="700"/>
      <c r="BC163" s="732" t="str">
        <f t="shared" si="65"/>
        <v/>
      </c>
      <c r="BD163" s="732" t="str">
        <f t="shared" si="66"/>
        <v/>
      </c>
      <c r="BE163" s="723" t="str">
        <f t="shared" si="59"/>
        <v/>
      </c>
      <c r="BF163" s="734" t="str">
        <f t="shared" si="67"/>
        <v/>
      </c>
      <c r="BG163" s="736" t="str">
        <f t="shared" si="68"/>
        <v/>
      </c>
      <c r="BH163" s="737" t="str">
        <f t="shared" si="69"/>
        <v/>
      </c>
      <c r="BI163" s="737" t="str">
        <f t="shared" si="70"/>
        <v/>
      </c>
      <c r="BJ163" s="738" t="str">
        <f t="shared" si="71"/>
        <v/>
      </c>
      <c r="BK163" s="730" t="str">
        <f t="shared" si="60"/>
        <v/>
      </c>
    </row>
    <row r="164" spans="31:63" ht="24.95" hidden="1" customHeight="1">
      <c r="AE164" s="488" t="str">
        <f t="shared" si="61"/>
        <v/>
      </c>
      <c r="AF164" s="739" t="str">
        <f t="shared" si="48"/>
        <v/>
      </c>
      <c r="AG164" s="739"/>
      <c r="AH164" s="739"/>
      <c r="AI164" s="720" t="str">
        <f t="shared" si="49"/>
        <v/>
      </c>
      <c r="AJ164" s="275"/>
      <c r="AK164" s="489" t="str">
        <f t="shared" si="50"/>
        <v/>
      </c>
      <c r="AL164" s="489" t="str">
        <f t="shared" si="51"/>
        <v/>
      </c>
      <c r="AM164" s="723" t="str">
        <f t="shared" si="52"/>
        <v/>
      </c>
      <c r="AN164" s="741" t="str">
        <f t="shared" si="62"/>
        <v/>
      </c>
      <c r="AO164" s="742" t="str">
        <f t="shared" si="53"/>
        <v/>
      </c>
      <c r="AP164" s="743" t="str">
        <f t="shared" si="72"/>
        <v/>
      </c>
      <c r="AQ164" s="742" t="str">
        <f t="shared" si="63"/>
        <v/>
      </c>
      <c r="AR164" s="743" t="str">
        <f t="shared" si="64"/>
        <v/>
      </c>
      <c r="AS164" s="728" t="str">
        <f t="shared" si="55"/>
        <v/>
      </c>
      <c r="AW164" s="732" t="str">
        <f t="shared" si="73"/>
        <v/>
      </c>
      <c r="AX164" s="487" t="str">
        <f t="shared" si="57"/>
        <v/>
      </c>
      <c r="AY164" s="487"/>
      <c r="AZ164" s="487"/>
      <c r="BA164" s="720" t="str">
        <f t="shared" si="58"/>
        <v/>
      </c>
      <c r="BB164" s="700"/>
      <c r="BC164" s="732" t="str">
        <f t="shared" si="65"/>
        <v/>
      </c>
      <c r="BD164" s="732" t="str">
        <f t="shared" si="66"/>
        <v/>
      </c>
      <c r="BE164" s="723" t="str">
        <f t="shared" si="59"/>
        <v/>
      </c>
      <c r="BF164" s="734" t="str">
        <f t="shared" si="67"/>
        <v/>
      </c>
      <c r="BG164" s="736" t="str">
        <f t="shared" si="68"/>
        <v/>
      </c>
      <c r="BH164" s="737" t="str">
        <f t="shared" si="69"/>
        <v/>
      </c>
      <c r="BI164" s="737" t="str">
        <f t="shared" si="70"/>
        <v/>
      </c>
      <c r="BJ164" s="738" t="str">
        <f t="shared" si="71"/>
        <v/>
      </c>
      <c r="BK164" s="730" t="str">
        <f t="shared" si="60"/>
        <v/>
      </c>
    </row>
    <row r="165" spans="31:63" ht="24.95" hidden="1" customHeight="1">
      <c r="AE165" s="488" t="str">
        <f t="shared" si="61"/>
        <v/>
      </c>
      <c r="AF165" s="739" t="str">
        <f t="shared" si="48"/>
        <v/>
      </c>
      <c r="AG165" s="739"/>
      <c r="AH165" s="739"/>
      <c r="AI165" s="720" t="str">
        <f t="shared" si="49"/>
        <v/>
      </c>
      <c r="AJ165" s="275"/>
      <c r="AK165" s="489" t="str">
        <f t="shared" si="50"/>
        <v/>
      </c>
      <c r="AL165" s="489" t="str">
        <f t="shared" si="51"/>
        <v/>
      </c>
      <c r="AM165" s="723" t="str">
        <f t="shared" si="52"/>
        <v/>
      </c>
      <c r="AN165" s="741" t="str">
        <f t="shared" si="62"/>
        <v/>
      </c>
      <c r="AO165" s="742" t="str">
        <f t="shared" si="53"/>
        <v/>
      </c>
      <c r="AP165" s="743" t="str">
        <f t="shared" si="72"/>
        <v/>
      </c>
      <c r="AQ165" s="742" t="str">
        <f t="shared" si="63"/>
        <v/>
      </c>
      <c r="AR165" s="743" t="str">
        <f t="shared" si="64"/>
        <v/>
      </c>
      <c r="AS165" s="728" t="str">
        <f t="shared" si="55"/>
        <v/>
      </c>
      <c r="AW165" s="732" t="str">
        <f t="shared" si="73"/>
        <v/>
      </c>
      <c r="AX165" s="487" t="str">
        <f t="shared" si="57"/>
        <v/>
      </c>
      <c r="AY165" s="487"/>
      <c r="AZ165" s="487"/>
      <c r="BA165" s="720" t="str">
        <f t="shared" si="58"/>
        <v/>
      </c>
      <c r="BB165" s="700"/>
      <c r="BC165" s="732" t="str">
        <f t="shared" si="65"/>
        <v/>
      </c>
      <c r="BD165" s="732" t="str">
        <f t="shared" si="66"/>
        <v/>
      </c>
      <c r="BE165" s="723" t="str">
        <f t="shared" si="59"/>
        <v/>
      </c>
      <c r="BF165" s="734" t="str">
        <f t="shared" si="67"/>
        <v/>
      </c>
      <c r="BG165" s="736" t="str">
        <f t="shared" si="68"/>
        <v/>
      </c>
      <c r="BH165" s="737" t="str">
        <f t="shared" si="69"/>
        <v/>
      </c>
      <c r="BI165" s="737" t="str">
        <f t="shared" si="70"/>
        <v/>
      </c>
      <c r="BJ165" s="738" t="str">
        <f t="shared" si="71"/>
        <v/>
      </c>
      <c r="BK165" s="730" t="str">
        <f t="shared" si="60"/>
        <v/>
      </c>
    </row>
    <row r="166" spans="31:63" ht="24.95" hidden="1" customHeight="1">
      <c r="AE166" s="488" t="str">
        <f t="shared" si="61"/>
        <v/>
      </c>
      <c r="AF166" s="739" t="str">
        <f t="shared" si="48"/>
        <v/>
      </c>
      <c r="AG166" s="739"/>
      <c r="AH166" s="739"/>
      <c r="AI166" s="720" t="str">
        <f t="shared" si="49"/>
        <v/>
      </c>
      <c r="AJ166" s="275"/>
      <c r="AK166" s="489" t="str">
        <f t="shared" si="50"/>
        <v/>
      </c>
      <c r="AL166" s="489" t="str">
        <f t="shared" si="51"/>
        <v/>
      </c>
      <c r="AM166" s="723" t="str">
        <f t="shared" si="52"/>
        <v/>
      </c>
      <c r="AN166" s="741" t="str">
        <f t="shared" si="62"/>
        <v/>
      </c>
      <c r="AO166" s="742" t="str">
        <f t="shared" si="53"/>
        <v/>
      </c>
      <c r="AP166" s="743" t="str">
        <f t="shared" si="72"/>
        <v/>
      </c>
      <c r="AQ166" s="742" t="str">
        <f t="shared" si="63"/>
        <v/>
      </c>
      <c r="AR166" s="743" t="str">
        <f t="shared" si="64"/>
        <v/>
      </c>
      <c r="AS166" s="728" t="str">
        <f t="shared" si="55"/>
        <v/>
      </c>
      <c r="AW166" s="732" t="str">
        <f t="shared" si="73"/>
        <v/>
      </c>
      <c r="AX166" s="487" t="str">
        <f t="shared" si="57"/>
        <v/>
      </c>
      <c r="AY166" s="487"/>
      <c r="AZ166" s="487"/>
      <c r="BA166" s="720" t="str">
        <f t="shared" si="58"/>
        <v/>
      </c>
      <c r="BB166" s="700"/>
      <c r="BC166" s="732" t="str">
        <f t="shared" si="65"/>
        <v/>
      </c>
      <c r="BD166" s="732" t="str">
        <f t="shared" si="66"/>
        <v/>
      </c>
      <c r="BE166" s="723" t="str">
        <f t="shared" si="59"/>
        <v/>
      </c>
      <c r="BF166" s="734" t="str">
        <f t="shared" si="67"/>
        <v/>
      </c>
      <c r="BG166" s="736" t="str">
        <f t="shared" si="68"/>
        <v/>
      </c>
      <c r="BH166" s="737" t="str">
        <f t="shared" si="69"/>
        <v/>
      </c>
      <c r="BI166" s="737" t="str">
        <f t="shared" si="70"/>
        <v/>
      </c>
      <c r="BJ166" s="738" t="str">
        <f t="shared" si="71"/>
        <v/>
      </c>
      <c r="BK166" s="730" t="str">
        <f t="shared" si="60"/>
        <v/>
      </c>
    </row>
    <row r="167" spans="31:63" ht="24.95" hidden="1" customHeight="1">
      <c r="AE167" s="488" t="str">
        <f t="shared" si="61"/>
        <v/>
      </c>
      <c r="AF167" s="739" t="str">
        <f t="shared" si="48"/>
        <v/>
      </c>
      <c r="AG167" s="739"/>
      <c r="AH167" s="739"/>
      <c r="AI167" s="720" t="str">
        <f t="shared" si="49"/>
        <v/>
      </c>
      <c r="AJ167" s="275"/>
      <c r="AK167" s="489" t="str">
        <f t="shared" si="50"/>
        <v/>
      </c>
      <c r="AL167" s="489" t="str">
        <f t="shared" si="51"/>
        <v/>
      </c>
      <c r="AM167" s="723" t="str">
        <f t="shared" si="52"/>
        <v/>
      </c>
      <c r="AN167" s="741" t="str">
        <f t="shared" si="62"/>
        <v/>
      </c>
      <c r="AO167" s="742" t="str">
        <f t="shared" si="53"/>
        <v/>
      </c>
      <c r="AP167" s="743" t="str">
        <f t="shared" si="72"/>
        <v/>
      </c>
      <c r="AQ167" s="742" t="str">
        <f t="shared" si="63"/>
        <v/>
      </c>
      <c r="AR167" s="743" t="str">
        <f t="shared" si="64"/>
        <v/>
      </c>
      <c r="AS167" s="728" t="str">
        <f t="shared" si="55"/>
        <v/>
      </c>
      <c r="AW167" s="732" t="str">
        <f t="shared" si="73"/>
        <v/>
      </c>
      <c r="AX167" s="487" t="str">
        <f t="shared" si="57"/>
        <v/>
      </c>
      <c r="AY167" s="487"/>
      <c r="AZ167" s="487"/>
      <c r="BA167" s="720" t="str">
        <f t="shared" si="58"/>
        <v/>
      </c>
      <c r="BB167" s="700"/>
      <c r="BC167" s="732" t="str">
        <f t="shared" si="65"/>
        <v/>
      </c>
      <c r="BD167" s="732" t="str">
        <f t="shared" si="66"/>
        <v/>
      </c>
      <c r="BE167" s="723" t="str">
        <f t="shared" si="59"/>
        <v/>
      </c>
      <c r="BF167" s="734" t="str">
        <f t="shared" si="67"/>
        <v/>
      </c>
      <c r="BG167" s="736" t="str">
        <f t="shared" si="68"/>
        <v/>
      </c>
      <c r="BH167" s="737" t="str">
        <f t="shared" si="69"/>
        <v/>
      </c>
      <c r="BI167" s="737" t="str">
        <f t="shared" si="70"/>
        <v/>
      </c>
      <c r="BJ167" s="738" t="str">
        <f t="shared" si="71"/>
        <v/>
      </c>
      <c r="BK167" s="730" t="str">
        <f t="shared" si="60"/>
        <v/>
      </c>
    </row>
    <row r="168" spans="31:63" ht="24.95" hidden="1" customHeight="1">
      <c r="AE168" s="488" t="str">
        <f t="shared" si="61"/>
        <v/>
      </c>
      <c r="AF168" s="739" t="str">
        <f t="shared" si="48"/>
        <v/>
      </c>
      <c r="AG168" s="739"/>
      <c r="AH168" s="739"/>
      <c r="AI168" s="720" t="str">
        <f t="shared" si="49"/>
        <v/>
      </c>
      <c r="AJ168" s="275"/>
      <c r="AK168" s="489" t="str">
        <f t="shared" si="50"/>
        <v/>
      </c>
      <c r="AL168" s="489" t="str">
        <f t="shared" si="51"/>
        <v/>
      </c>
      <c r="AM168" s="723" t="str">
        <f t="shared" si="52"/>
        <v/>
      </c>
      <c r="AN168" s="741" t="str">
        <f t="shared" si="62"/>
        <v/>
      </c>
      <c r="AO168" s="742" t="str">
        <f t="shared" si="53"/>
        <v/>
      </c>
      <c r="AP168" s="743" t="str">
        <f t="shared" si="72"/>
        <v/>
      </c>
      <c r="AQ168" s="742" t="str">
        <f t="shared" si="63"/>
        <v/>
      </c>
      <c r="AR168" s="743" t="str">
        <f t="shared" si="64"/>
        <v/>
      </c>
      <c r="AS168" s="728" t="str">
        <f t="shared" si="55"/>
        <v/>
      </c>
      <c r="AW168" s="732" t="str">
        <f t="shared" si="73"/>
        <v/>
      </c>
      <c r="AX168" s="487" t="str">
        <f t="shared" si="57"/>
        <v/>
      </c>
      <c r="AY168" s="487"/>
      <c r="AZ168" s="487"/>
      <c r="BA168" s="720" t="str">
        <f t="shared" si="58"/>
        <v/>
      </c>
      <c r="BB168" s="700"/>
      <c r="BC168" s="732" t="str">
        <f t="shared" si="65"/>
        <v/>
      </c>
      <c r="BD168" s="732" t="str">
        <f t="shared" si="66"/>
        <v/>
      </c>
      <c r="BE168" s="723" t="str">
        <f t="shared" si="59"/>
        <v/>
      </c>
      <c r="BF168" s="734" t="str">
        <f t="shared" si="67"/>
        <v/>
      </c>
      <c r="BG168" s="736" t="str">
        <f t="shared" si="68"/>
        <v/>
      </c>
      <c r="BH168" s="737" t="str">
        <f t="shared" si="69"/>
        <v/>
      </c>
      <c r="BI168" s="737" t="str">
        <f t="shared" si="70"/>
        <v/>
      </c>
      <c r="BJ168" s="738" t="str">
        <f t="shared" si="71"/>
        <v/>
      </c>
      <c r="BK168" s="730" t="str">
        <f t="shared" si="60"/>
        <v/>
      </c>
    </row>
    <row r="169" spans="31:63" ht="24.95" hidden="1" customHeight="1">
      <c r="AE169" s="488" t="str">
        <f t="shared" si="61"/>
        <v/>
      </c>
      <c r="AF169" s="739" t="str">
        <f t="shared" si="48"/>
        <v/>
      </c>
      <c r="AG169" s="739"/>
      <c r="AH169" s="739"/>
      <c r="AI169" s="720" t="str">
        <f t="shared" si="49"/>
        <v/>
      </c>
      <c r="AJ169" s="275"/>
      <c r="AK169" s="489" t="str">
        <f t="shared" si="50"/>
        <v/>
      </c>
      <c r="AL169" s="489" t="str">
        <f t="shared" si="51"/>
        <v/>
      </c>
      <c r="AM169" s="723" t="str">
        <f t="shared" si="52"/>
        <v/>
      </c>
      <c r="AN169" s="741" t="str">
        <f t="shared" si="62"/>
        <v/>
      </c>
      <c r="AO169" s="742" t="str">
        <f t="shared" si="53"/>
        <v/>
      </c>
      <c r="AP169" s="743" t="str">
        <f t="shared" si="72"/>
        <v/>
      </c>
      <c r="AQ169" s="742" t="str">
        <f t="shared" si="63"/>
        <v/>
      </c>
      <c r="AR169" s="743" t="str">
        <f t="shared" si="64"/>
        <v/>
      </c>
      <c r="AS169" s="728" t="str">
        <f t="shared" si="55"/>
        <v/>
      </c>
      <c r="AW169" s="732" t="str">
        <f t="shared" si="73"/>
        <v/>
      </c>
      <c r="AX169" s="487" t="str">
        <f t="shared" si="57"/>
        <v/>
      </c>
      <c r="AY169" s="487"/>
      <c r="AZ169" s="487"/>
      <c r="BA169" s="720" t="str">
        <f t="shared" si="58"/>
        <v/>
      </c>
      <c r="BB169" s="700"/>
      <c r="BC169" s="732" t="str">
        <f t="shared" si="65"/>
        <v/>
      </c>
      <c r="BD169" s="732" t="str">
        <f t="shared" si="66"/>
        <v/>
      </c>
      <c r="BE169" s="723" t="str">
        <f t="shared" si="59"/>
        <v/>
      </c>
      <c r="BF169" s="734" t="str">
        <f t="shared" si="67"/>
        <v/>
      </c>
      <c r="BG169" s="736" t="str">
        <f t="shared" si="68"/>
        <v/>
      </c>
      <c r="BH169" s="737" t="str">
        <f t="shared" si="69"/>
        <v/>
      </c>
      <c r="BI169" s="737" t="str">
        <f t="shared" si="70"/>
        <v/>
      </c>
      <c r="BJ169" s="738" t="str">
        <f t="shared" si="71"/>
        <v/>
      </c>
      <c r="BK169" s="730" t="str">
        <f t="shared" si="60"/>
        <v/>
      </c>
    </row>
    <row r="170" spans="31:63" ht="24.95" hidden="1" customHeight="1">
      <c r="AE170" s="488" t="str">
        <f t="shared" si="61"/>
        <v/>
      </c>
      <c r="AF170" s="739" t="str">
        <f t="shared" si="48"/>
        <v/>
      </c>
      <c r="AG170" s="739"/>
      <c r="AH170" s="739"/>
      <c r="AI170" s="720" t="str">
        <f t="shared" si="49"/>
        <v/>
      </c>
      <c r="AJ170" s="275"/>
      <c r="AK170" s="489" t="str">
        <f t="shared" si="50"/>
        <v/>
      </c>
      <c r="AL170" s="489" t="str">
        <f t="shared" si="51"/>
        <v/>
      </c>
      <c r="AM170" s="723" t="str">
        <f t="shared" si="52"/>
        <v/>
      </c>
      <c r="AN170" s="741" t="str">
        <f t="shared" si="62"/>
        <v/>
      </c>
      <c r="AO170" s="742" t="str">
        <f t="shared" si="53"/>
        <v/>
      </c>
      <c r="AP170" s="743" t="str">
        <f t="shared" si="72"/>
        <v/>
      </c>
      <c r="AQ170" s="742" t="str">
        <f t="shared" si="63"/>
        <v/>
      </c>
      <c r="AR170" s="743" t="str">
        <f t="shared" si="64"/>
        <v/>
      </c>
      <c r="AS170" s="728" t="str">
        <f t="shared" si="55"/>
        <v/>
      </c>
      <c r="AW170" s="732" t="str">
        <f t="shared" si="73"/>
        <v/>
      </c>
      <c r="AX170" s="487" t="str">
        <f t="shared" si="57"/>
        <v/>
      </c>
      <c r="AY170" s="487"/>
      <c r="AZ170" s="487"/>
      <c r="BA170" s="720" t="str">
        <f t="shared" si="58"/>
        <v/>
      </c>
      <c r="BB170" s="700"/>
      <c r="BC170" s="732" t="str">
        <f t="shared" si="65"/>
        <v/>
      </c>
      <c r="BD170" s="732" t="str">
        <f t="shared" si="66"/>
        <v/>
      </c>
      <c r="BE170" s="723" t="str">
        <f t="shared" si="59"/>
        <v/>
      </c>
      <c r="BF170" s="734" t="str">
        <f t="shared" si="67"/>
        <v/>
      </c>
      <c r="BG170" s="736" t="str">
        <f t="shared" si="68"/>
        <v/>
      </c>
      <c r="BH170" s="737" t="str">
        <f t="shared" si="69"/>
        <v/>
      </c>
      <c r="BI170" s="737" t="str">
        <f t="shared" si="70"/>
        <v/>
      </c>
      <c r="BJ170" s="738" t="str">
        <f t="shared" si="71"/>
        <v/>
      </c>
      <c r="BK170" s="730" t="str">
        <f t="shared" si="60"/>
        <v/>
      </c>
    </row>
    <row r="171" spans="31:63" ht="24.95" hidden="1" customHeight="1">
      <c r="AE171" s="488" t="str">
        <f t="shared" si="61"/>
        <v/>
      </c>
      <c r="AF171" s="739" t="str">
        <f t="shared" si="48"/>
        <v/>
      </c>
      <c r="AG171" s="739"/>
      <c r="AH171" s="739"/>
      <c r="AI171" s="720" t="str">
        <f t="shared" si="49"/>
        <v/>
      </c>
      <c r="AJ171" s="275"/>
      <c r="AK171" s="489" t="str">
        <f t="shared" si="50"/>
        <v/>
      </c>
      <c r="AL171" s="489" t="str">
        <f t="shared" si="51"/>
        <v/>
      </c>
      <c r="AM171" s="723" t="str">
        <f t="shared" si="52"/>
        <v/>
      </c>
      <c r="AN171" s="741" t="str">
        <f t="shared" si="62"/>
        <v/>
      </c>
      <c r="AO171" s="742" t="str">
        <f t="shared" si="53"/>
        <v/>
      </c>
      <c r="AP171" s="743" t="str">
        <f t="shared" si="72"/>
        <v/>
      </c>
      <c r="AQ171" s="742" t="str">
        <f t="shared" si="63"/>
        <v/>
      </c>
      <c r="AR171" s="743" t="str">
        <f t="shared" si="64"/>
        <v/>
      </c>
      <c r="AS171" s="728" t="str">
        <f t="shared" si="55"/>
        <v/>
      </c>
      <c r="AW171" s="732" t="str">
        <f t="shared" si="73"/>
        <v/>
      </c>
      <c r="AX171" s="487" t="str">
        <f t="shared" si="57"/>
        <v/>
      </c>
      <c r="AY171" s="487"/>
      <c r="AZ171" s="487"/>
      <c r="BA171" s="720" t="str">
        <f t="shared" si="58"/>
        <v/>
      </c>
      <c r="BB171" s="700"/>
      <c r="BC171" s="732" t="str">
        <f t="shared" si="65"/>
        <v/>
      </c>
      <c r="BD171" s="732" t="str">
        <f t="shared" si="66"/>
        <v/>
      </c>
      <c r="BE171" s="723" t="str">
        <f t="shared" si="59"/>
        <v/>
      </c>
      <c r="BF171" s="734" t="str">
        <f t="shared" si="67"/>
        <v/>
      </c>
      <c r="BG171" s="736" t="str">
        <f t="shared" si="68"/>
        <v/>
      </c>
      <c r="BH171" s="737" t="str">
        <f t="shared" si="69"/>
        <v/>
      </c>
      <c r="BI171" s="737" t="str">
        <f t="shared" si="70"/>
        <v/>
      </c>
      <c r="BJ171" s="738" t="str">
        <f t="shared" si="71"/>
        <v/>
      </c>
      <c r="BK171" s="730" t="str">
        <f t="shared" si="60"/>
        <v/>
      </c>
    </row>
    <row r="172" spans="31:63" ht="24.95" hidden="1" customHeight="1">
      <c r="AE172" s="488" t="str">
        <f t="shared" si="61"/>
        <v/>
      </c>
      <c r="AF172" s="739" t="str">
        <f t="shared" si="48"/>
        <v/>
      </c>
      <c r="AG172" s="739"/>
      <c r="AH172" s="739"/>
      <c r="AI172" s="720" t="str">
        <f t="shared" si="49"/>
        <v/>
      </c>
      <c r="AJ172" s="275"/>
      <c r="AK172" s="489" t="str">
        <f t="shared" si="50"/>
        <v/>
      </c>
      <c r="AL172" s="489" t="str">
        <f t="shared" si="51"/>
        <v/>
      </c>
      <c r="AM172" s="723" t="str">
        <f t="shared" si="52"/>
        <v/>
      </c>
      <c r="AN172" s="741" t="str">
        <f t="shared" si="62"/>
        <v/>
      </c>
      <c r="AO172" s="742" t="str">
        <f t="shared" si="53"/>
        <v/>
      </c>
      <c r="AP172" s="743" t="str">
        <f t="shared" si="72"/>
        <v/>
      </c>
      <c r="AQ172" s="742" t="str">
        <f t="shared" si="63"/>
        <v/>
      </c>
      <c r="AR172" s="743" t="str">
        <f t="shared" si="64"/>
        <v/>
      </c>
      <c r="AS172" s="728" t="str">
        <f t="shared" si="55"/>
        <v/>
      </c>
      <c r="AW172" s="732" t="str">
        <f t="shared" si="73"/>
        <v/>
      </c>
      <c r="AX172" s="487" t="str">
        <f t="shared" si="57"/>
        <v/>
      </c>
      <c r="AY172" s="487"/>
      <c r="AZ172" s="487"/>
      <c r="BA172" s="720" t="str">
        <f t="shared" si="58"/>
        <v/>
      </c>
      <c r="BB172" s="700"/>
      <c r="BC172" s="732" t="str">
        <f t="shared" si="65"/>
        <v/>
      </c>
      <c r="BD172" s="732" t="str">
        <f t="shared" si="66"/>
        <v/>
      </c>
      <c r="BE172" s="723" t="str">
        <f t="shared" si="59"/>
        <v/>
      </c>
      <c r="BF172" s="734" t="str">
        <f t="shared" si="67"/>
        <v/>
      </c>
      <c r="BG172" s="736" t="str">
        <f t="shared" si="68"/>
        <v/>
      </c>
      <c r="BH172" s="737" t="str">
        <f t="shared" si="69"/>
        <v/>
      </c>
      <c r="BI172" s="737" t="str">
        <f t="shared" si="70"/>
        <v/>
      </c>
      <c r="BJ172" s="738" t="str">
        <f t="shared" si="71"/>
        <v/>
      </c>
      <c r="BK172" s="730" t="str">
        <f t="shared" si="60"/>
        <v/>
      </c>
    </row>
    <row r="173" spans="31:63" ht="24.95" hidden="1" customHeight="1">
      <c r="AE173" s="488" t="str">
        <f t="shared" si="61"/>
        <v/>
      </c>
      <c r="AF173" s="739" t="str">
        <f t="shared" si="48"/>
        <v/>
      </c>
      <c r="AG173" s="739"/>
      <c r="AH173" s="739"/>
      <c r="AI173" s="720" t="str">
        <f t="shared" si="49"/>
        <v/>
      </c>
      <c r="AJ173" s="275"/>
      <c r="AK173" s="489" t="str">
        <f t="shared" si="50"/>
        <v/>
      </c>
      <c r="AL173" s="489" t="str">
        <f t="shared" si="51"/>
        <v/>
      </c>
      <c r="AM173" s="723" t="str">
        <f t="shared" si="52"/>
        <v/>
      </c>
      <c r="AN173" s="741" t="str">
        <f t="shared" si="62"/>
        <v/>
      </c>
      <c r="AO173" s="742" t="str">
        <f t="shared" si="53"/>
        <v/>
      </c>
      <c r="AP173" s="743" t="str">
        <f t="shared" si="72"/>
        <v/>
      </c>
      <c r="AQ173" s="742" t="str">
        <f t="shared" si="63"/>
        <v/>
      </c>
      <c r="AR173" s="743" t="str">
        <f t="shared" si="64"/>
        <v/>
      </c>
      <c r="AS173" s="728" t="str">
        <f t="shared" si="55"/>
        <v/>
      </c>
      <c r="AW173" s="732" t="str">
        <f t="shared" si="73"/>
        <v/>
      </c>
      <c r="AX173" s="487" t="str">
        <f t="shared" si="57"/>
        <v/>
      </c>
      <c r="AY173" s="487"/>
      <c r="AZ173" s="487"/>
      <c r="BA173" s="720" t="str">
        <f t="shared" si="58"/>
        <v/>
      </c>
      <c r="BB173" s="700"/>
      <c r="BC173" s="732" t="str">
        <f t="shared" si="65"/>
        <v/>
      </c>
      <c r="BD173" s="732" t="str">
        <f t="shared" si="66"/>
        <v/>
      </c>
      <c r="BE173" s="723" t="str">
        <f t="shared" si="59"/>
        <v/>
      </c>
      <c r="BF173" s="734" t="str">
        <f t="shared" si="67"/>
        <v/>
      </c>
      <c r="BG173" s="736" t="str">
        <f t="shared" si="68"/>
        <v/>
      </c>
      <c r="BH173" s="737" t="str">
        <f t="shared" si="69"/>
        <v/>
      </c>
      <c r="BI173" s="737" t="str">
        <f t="shared" si="70"/>
        <v/>
      </c>
      <c r="BJ173" s="738" t="str">
        <f t="shared" si="71"/>
        <v/>
      </c>
      <c r="BK173" s="730" t="str">
        <f t="shared" si="60"/>
        <v/>
      </c>
    </row>
    <row r="174" spans="31:63" ht="24.95" hidden="1" customHeight="1">
      <c r="AE174" s="488" t="str">
        <f t="shared" si="61"/>
        <v/>
      </c>
      <c r="AF174" s="739" t="str">
        <f t="shared" si="48"/>
        <v/>
      </c>
      <c r="AG174" s="739"/>
      <c r="AH174" s="739"/>
      <c r="AI174" s="720" t="str">
        <f t="shared" si="49"/>
        <v/>
      </c>
      <c r="AJ174" s="275"/>
      <c r="AK174" s="489" t="str">
        <f t="shared" si="50"/>
        <v/>
      </c>
      <c r="AL174" s="489" t="str">
        <f t="shared" si="51"/>
        <v/>
      </c>
      <c r="AM174" s="723" t="str">
        <f t="shared" si="52"/>
        <v/>
      </c>
      <c r="AN174" s="741" t="str">
        <f t="shared" si="62"/>
        <v/>
      </c>
      <c r="AO174" s="742" t="str">
        <f t="shared" si="53"/>
        <v/>
      </c>
      <c r="AP174" s="743" t="str">
        <f t="shared" si="72"/>
        <v/>
      </c>
      <c r="AQ174" s="742" t="str">
        <f t="shared" si="63"/>
        <v/>
      </c>
      <c r="AR174" s="743" t="str">
        <f t="shared" si="64"/>
        <v/>
      </c>
      <c r="AS174" s="728" t="str">
        <f t="shared" si="55"/>
        <v/>
      </c>
      <c r="AW174" s="732" t="str">
        <f t="shared" si="73"/>
        <v/>
      </c>
      <c r="AX174" s="487" t="str">
        <f t="shared" si="57"/>
        <v/>
      </c>
      <c r="AY174" s="487"/>
      <c r="AZ174" s="487"/>
      <c r="BA174" s="720" t="str">
        <f t="shared" si="58"/>
        <v/>
      </c>
      <c r="BB174" s="700"/>
      <c r="BC174" s="732" t="str">
        <f t="shared" si="65"/>
        <v/>
      </c>
      <c r="BD174" s="732" t="str">
        <f t="shared" si="66"/>
        <v/>
      </c>
      <c r="BE174" s="723" t="str">
        <f t="shared" si="59"/>
        <v/>
      </c>
      <c r="BF174" s="734" t="str">
        <f t="shared" si="67"/>
        <v/>
      </c>
      <c r="BG174" s="736" t="str">
        <f t="shared" si="68"/>
        <v/>
      </c>
      <c r="BH174" s="737" t="str">
        <f t="shared" si="69"/>
        <v/>
      </c>
      <c r="BI174" s="737" t="str">
        <f t="shared" si="70"/>
        <v/>
      </c>
      <c r="BJ174" s="738" t="str">
        <f t="shared" si="71"/>
        <v/>
      </c>
      <c r="BK174" s="730" t="str">
        <f t="shared" si="60"/>
        <v/>
      </c>
    </row>
    <row r="175" spans="31:63" ht="24.95" hidden="1" customHeight="1">
      <c r="AE175" s="488" t="str">
        <f t="shared" si="61"/>
        <v/>
      </c>
      <c r="AF175" s="739" t="str">
        <f t="shared" si="48"/>
        <v/>
      </c>
      <c r="AG175" s="739"/>
      <c r="AH175" s="739"/>
      <c r="AI175" s="720" t="str">
        <f t="shared" si="49"/>
        <v/>
      </c>
      <c r="AJ175" s="275"/>
      <c r="AK175" s="489" t="str">
        <f t="shared" si="50"/>
        <v/>
      </c>
      <c r="AL175" s="489" t="str">
        <f t="shared" si="51"/>
        <v/>
      </c>
      <c r="AM175" s="723" t="str">
        <f t="shared" si="52"/>
        <v/>
      </c>
      <c r="AN175" s="741" t="str">
        <f t="shared" si="62"/>
        <v/>
      </c>
      <c r="AO175" s="742" t="str">
        <f t="shared" si="53"/>
        <v/>
      </c>
      <c r="AP175" s="743" t="str">
        <f t="shared" si="72"/>
        <v/>
      </c>
      <c r="AQ175" s="742" t="str">
        <f t="shared" si="63"/>
        <v/>
      </c>
      <c r="AR175" s="743" t="str">
        <f t="shared" si="64"/>
        <v/>
      </c>
      <c r="AS175" s="728" t="str">
        <f t="shared" si="55"/>
        <v/>
      </c>
      <c r="AW175" s="732" t="str">
        <f t="shared" si="73"/>
        <v/>
      </c>
      <c r="AX175" s="487" t="str">
        <f t="shared" si="57"/>
        <v/>
      </c>
      <c r="AY175" s="487"/>
      <c r="AZ175" s="487"/>
      <c r="BA175" s="720" t="str">
        <f t="shared" si="58"/>
        <v/>
      </c>
      <c r="BB175" s="700"/>
      <c r="BC175" s="732" t="str">
        <f t="shared" si="65"/>
        <v/>
      </c>
      <c r="BD175" s="732" t="str">
        <f t="shared" si="66"/>
        <v/>
      </c>
      <c r="BE175" s="723" t="str">
        <f t="shared" si="59"/>
        <v/>
      </c>
      <c r="BF175" s="734" t="str">
        <f t="shared" si="67"/>
        <v/>
      </c>
      <c r="BG175" s="736" t="str">
        <f t="shared" si="68"/>
        <v/>
      </c>
      <c r="BH175" s="737" t="str">
        <f t="shared" si="69"/>
        <v/>
      </c>
      <c r="BI175" s="737" t="str">
        <f t="shared" si="70"/>
        <v/>
      </c>
      <c r="BJ175" s="738" t="str">
        <f t="shared" si="71"/>
        <v/>
      </c>
      <c r="BK175" s="730" t="str">
        <f t="shared" si="60"/>
        <v/>
      </c>
    </row>
    <row r="176" spans="31:63" ht="24.95" hidden="1" customHeight="1">
      <c r="AE176" s="488" t="str">
        <f t="shared" si="61"/>
        <v/>
      </c>
      <c r="AF176" s="739" t="str">
        <f t="shared" si="48"/>
        <v/>
      </c>
      <c r="AG176" s="739"/>
      <c r="AH176" s="739"/>
      <c r="AI176" s="720" t="str">
        <f t="shared" si="49"/>
        <v/>
      </c>
      <c r="AJ176" s="275"/>
      <c r="AK176" s="489" t="str">
        <f t="shared" si="50"/>
        <v/>
      </c>
      <c r="AL176" s="489" t="str">
        <f t="shared" si="51"/>
        <v/>
      </c>
      <c r="AM176" s="723" t="str">
        <f t="shared" si="52"/>
        <v/>
      </c>
      <c r="AN176" s="741" t="str">
        <f t="shared" si="62"/>
        <v/>
      </c>
      <c r="AO176" s="742" t="str">
        <f t="shared" si="53"/>
        <v/>
      </c>
      <c r="AP176" s="743" t="str">
        <f t="shared" si="72"/>
        <v/>
      </c>
      <c r="AQ176" s="742" t="str">
        <f t="shared" si="63"/>
        <v/>
      </c>
      <c r="AR176" s="743" t="str">
        <f t="shared" si="64"/>
        <v/>
      </c>
      <c r="AS176" s="728" t="str">
        <f t="shared" si="55"/>
        <v/>
      </c>
      <c r="AW176" s="732" t="str">
        <f t="shared" si="73"/>
        <v/>
      </c>
      <c r="AX176" s="487" t="str">
        <f t="shared" si="57"/>
        <v/>
      </c>
      <c r="AY176" s="487"/>
      <c r="AZ176" s="487"/>
      <c r="BA176" s="720" t="str">
        <f t="shared" si="58"/>
        <v/>
      </c>
      <c r="BB176" s="700"/>
      <c r="BC176" s="732" t="str">
        <f t="shared" si="65"/>
        <v/>
      </c>
      <c r="BD176" s="732" t="str">
        <f t="shared" si="66"/>
        <v/>
      </c>
      <c r="BE176" s="723" t="str">
        <f t="shared" si="59"/>
        <v/>
      </c>
      <c r="BF176" s="734" t="str">
        <f t="shared" si="67"/>
        <v/>
      </c>
      <c r="BG176" s="736" t="str">
        <f t="shared" si="68"/>
        <v/>
      </c>
      <c r="BH176" s="737" t="str">
        <f t="shared" si="69"/>
        <v/>
      </c>
      <c r="BI176" s="737" t="str">
        <f t="shared" si="70"/>
        <v/>
      </c>
      <c r="BJ176" s="738" t="str">
        <f t="shared" si="71"/>
        <v/>
      </c>
      <c r="BK176" s="730" t="str">
        <f t="shared" si="60"/>
        <v/>
      </c>
    </row>
    <row r="177" spans="31:63" ht="24.95" hidden="1" customHeight="1">
      <c r="AE177" s="488" t="str">
        <f t="shared" si="61"/>
        <v/>
      </c>
      <c r="AF177" s="739" t="str">
        <f t="shared" si="48"/>
        <v/>
      </c>
      <c r="AG177" s="739"/>
      <c r="AH177" s="739"/>
      <c r="AI177" s="720" t="str">
        <f t="shared" si="49"/>
        <v/>
      </c>
      <c r="AJ177" s="275"/>
      <c r="AK177" s="489" t="str">
        <f t="shared" si="50"/>
        <v/>
      </c>
      <c r="AL177" s="489" t="str">
        <f t="shared" si="51"/>
        <v/>
      </c>
      <c r="AM177" s="723" t="str">
        <f t="shared" si="52"/>
        <v/>
      </c>
      <c r="AN177" s="741" t="str">
        <f t="shared" si="62"/>
        <v/>
      </c>
      <c r="AO177" s="742" t="str">
        <f t="shared" si="53"/>
        <v/>
      </c>
      <c r="AP177" s="743" t="str">
        <f t="shared" si="72"/>
        <v/>
      </c>
      <c r="AQ177" s="742" t="str">
        <f t="shared" si="63"/>
        <v/>
      </c>
      <c r="AR177" s="743" t="str">
        <f t="shared" si="64"/>
        <v/>
      </c>
      <c r="AS177" s="728" t="str">
        <f t="shared" si="55"/>
        <v/>
      </c>
      <c r="AW177" s="732" t="str">
        <f t="shared" si="73"/>
        <v/>
      </c>
      <c r="AX177" s="487" t="str">
        <f t="shared" si="57"/>
        <v/>
      </c>
      <c r="AY177" s="487"/>
      <c r="AZ177" s="487"/>
      <c r="BA177" s="720" t="str">
        <f t="shared" si="58"/>
        <v/>
      </c>
      <c r="BB177" s="700"/>
      <c r="BC177" s="732" t="str">
        <f t="shared" si="65"/>
        <v/>
      </c>
      <c r="BD177" s="732" t="str">
        <f t="shared" si="66"/>
        <v/>
      </c>
      <c r="BE177" s="723" t="str">
        <f t="shared" si="59"/>
        <v/>
      </c>
      <c r="BF177" s="734" t="str">
        <f t="shared" si="67"/>
        <v/>
      </c>
      <c r="BG177" s="736" t="str">
        <f t="shared" si="68"/>
        <v/>
      </c>
      <c r="BH177" s="737" t="str">
        <f t="shared" si="69"/>
        <v/>
      </c>
      <c r="BI177" s="737" t="str">
        <f t="shared" si="70"/>
        <v/>
      </c>
      <c r="BJ177" s="738" t="str">
        <f t="shared" si="71"/>
        <v/>
      </c>
      <c r="BK177" s="730" t="str">
        <f t="shared" si="60"/>
        <v/>
      </c>
    </row>
    <row r="178" spans="31:63" ht="24.95" hidden="1" customHeight="1">
      <c r="AE178" s="488" t="str">
        <f t="shared" si="61"/>
        <v/>
      </c>
      <c r="AF178" s="739" t="str">
        <f t="shared" si="48"/>
        <v/>
      </c>
      <c r="AG178" s="739"/>
      <c r="AH178" s="739"/>
      <c r="AI178" s="720" t="str">
        <f t="shared" si="49"/>
        <v/>
      </c>
      <c r="AJ178" s="275"/>
      <c r="AK178" s="489" t="str">
        <f t="shared" si="50"/>
        <v/>
      </c>
      <c r="AL178" s="489" t="str">
        <f t="shared" si="51"/>
        <v/>
      </c>
      <c r="AM178" s="723" t="str">
        <f t="shared" si="52"/>
        <v/>
      </c>
      <c r="AN178" s="741" t="str">
        <f t="shared" si="62"/>
        <v/>
      </c>
      <c r="AO178" s="742" t="str">
        <f t="shared" si="53"/>
        <v/>
      </c>
      <c r="AP178" s="743" t="str">
        <f t="shared" si="72"/>
        <v/>
      </c>
      <c r="AQ178" s="742" t="str">
        <f t="shared" si="63"/>
        <v/>
      </c>
      <c r="AR178" s="743" t="str">
        <f t="shared" si="64"/>
        <v/>
      </c>
      <c r="AS178" s="728" t="str">
        <f t="shared" si="55"/>
        <v/>
      </c>
      <c r="AW178" s="732" t="str">
        <f t="shared" si="73"/>
        <v/>
      </c>
      <c r="AX178" s="487" t="str">
        <f t="shared" si="57"/>
        <v/>
      </c>
      <c r="AY178" s="487"/>
      <c r="AZ178" s="487"/>
      <c r="BA178" s="720" t="str">
        <f t="shared" si="58"/>
        <v/>
      </c>
      <c r="BB178" s="700"/>
      <c r="BC178" s="732" t="str">
        <f t="shared" si="65"/>
        <v/>
      </c>
      <c r="BD178" s="732" t="str">
        <f t="shared" si="66"/>
        <v/>
      </c>
      <c r="BE178" s="723" t="str">
        <f t="shared" si="59"/>
        <v/>
      </c>
      <c r="BF178" s="734" t="str">
        <f t="shared" si="67"/>
        <v/>
      </c>
      <c r="BG178" s="736" t="str">
        <f t="shared" si="68"/>
        <v/>
      </c>
      <c r="BH178" s="737" t="str">
        <f t="shared" si="69"/>
        <v/>
      </c>
      <c r="BI178" s="737" t="str">
        <f t="shared" si="70"/>
        <v/>
      </c>
      <c r="BJ178" s="738" t="str">
        <f t="shared" si="71"/>
        <v/>
      </c>
      <c r="BK178" s="730" t="str">
        <f t="shared" si="60"/>
        <v/>
      </c>
    </row>
    <row r="179" spans="31:63" ht="24.95" hidden="1" customHeight="1">
      <c r="AE179" s="488" t="str">
        <f t="shared" si="61"/>
        <v/>
      </c>
      <c r="AF179" s="739" t="str">
        <f t="shared" si="48"/>
        <v/>
      </c>
      <c r="AG179" s="739"/>
      <c r="AH179" s="739"/>
      <c r="AI179" s="720" t="str">
        <f t="shared" si="49"/>
        <v/>
      </c>
      <c r="AJ179" s="275"/>
      <c r="AK179" s="489" t="str">
        <f t="shared" si="50"/>
        <v/>
      </c>
      <c r="AL179" s="489" t="str">
        <f t="shared" si="51"/>
        <v/>
      </c>
      <c r="AM179" s="723" t="str">
        <f t="shared" si="52"/>
        <v/>
      </c>
      <c r="AN179" s="741" t="str">
        <f t="shared" si="62"/>
        <v/>
      </c>
      <c r="AO179" s="742" t="str">
        <f t="shared" si="53"/>
        <v/>
      </c>
      <c r="AP179" s="743" t="str">
        <f t="shared" si="72"/>
        <v/>
      </c>
      <c r="AQ179" s="742" t="str">
        <f t="shared" si="63"/>
        <v/>
      </c>
      <c r="AR179" s="743" t="str">
        <f t="shared" si="64"/>
        <v/>
      </c>
      <c r="AS179" s="728" t="str">
        <f t="shared" si="55"/>
        <v/>
      </c>
      <c r="AW179" s="732" t="str">
        <f t="shared" si="73"/>
        <v/>
      </c>
      <c r="AX179" s="487" t="str">
        <f t="shared" si="57"/>
        <v/>
      </c>
      <c r="AY179" s="487"/>
      <c r="AZ179" s="487"/>
      <c r="BA179" s="720" t="str">
        <f t="shared" si="58"/>
        <v/>
      </c>
      <c r="BB179" s="700"/>
      <c r="BC179" s="732" t="str">
        <f t="shared" si="65"/>
        <v/>
      </c>
      <c r="BD179" s="732" t="str">
        <f t="shared" si="66"/>
        <v/>
      </c>
      <c r="BE179" s="723" t="str">
        <f t="shared" si="59"/>
        <v/>
      </c>
      <c r="BF179" s="734" t="str">
        <f t="shared" si="67"/>
        <v/>
      </c>
      <c r="BG179" s="736" t="str">
        <f t="shared" si="68"/>
        <v/>
      </c>
      <c r="BH179" s="737" t="str">
        <f t="shared" si="69"/>
        <v/>
      </c>
      <c r="BI179" s="737" t="str">
        <f t="shared" si="70"/>
        <v/>
      </c>
      <c r="BJ179" s="738" t="str">
        <f t="shared" si="71"/>
        <v/>
      </c>
      <c r="BK179" s="730" t="str">
        <f t="shared" si="60"/>
        <v/>
      </c>
    </row>
    <row r="180" spans="31:63" ht="24.95" hidden="1" customHeight="1">
      <c r="AE180" s="488" t="str">
        <f t="shared" si="61"/>
        <v/>
      </c>
      <c r="AF180" s="739" t="str">
        <f t="shared" si="48"/>
        <v/>
      </c>
      <c r="AG180" s="739"/>
      <c r="AH180" s="739"/>
      <c r="AI180" s="720" t="str">
        <f t="shared" si="49"/>
        <v/>
      </c>
      <c r="AJ180" s="275"/>
      <c r="AK180" s="489" t="str">
        <f t="shared" si="50"/>
        <v/>
      </c>
      <c r="AL180" s="489" t="str">
        <f t="shared" si="51"/>
        <v/>
      </c>
      <c r="AM180" s="723" t="str">
        <f t="shared" si="52"/>
        <v/>
      </c>
      <c r="AN180" s="741" t="str">
        <f t="shared" si="62"/>
        <v/>
      </c>
      <c r="AO180" s="742" t="str">
        <f t="shared" si="53"/>
        <v/>
      </c>
      <c r="AP180" s="743" t="str">
        <f t="shared" si="72"/>
        <v/>
      </c>
      <c r="AQ180" s="742" t="str">
        <f t="shared" si="63"/>
        <v/>
      </c>
      <c r="AR180" s="743" t="str">
        <f t="shared" si="64"/>
        <v/>
      </c>
      <c r="AS180" s="728" t="str">
        <f t="shared" si="55"/>
        <v/>
      </c>
      <c r="AW180" s="732" t="str">
        <f t="shared" si="73"/>
        <v/>
      </c>
      <c r="AX180" s="487" t="str">
        <f t="shared" si="57"/>
        <v/>
      </c>
      <c r="AY180" s="487"/>
      <c r="AZ180" s="487"/>
      <c r="BA180" s="720" t="str">
        <f t="shared" si="58"/>
        <v/>
      </c>
      <c r="BB180" s="700"/>
      <c r="BC180" s="732" t="str">
        <f t="shared" si="65"/>
        <v/>
      </c>
      <c r="BD180" s="732" t="str">
        <f t="shared" si="66"/>
        <v/>
      </c>
      <c r="BE180" s="723" t="str">
        <f t="shared" si="59"/>
        <v/>
      </c>
      <c r="BF180" s="734" t="str">
        <f t="shared" si="67"/>
        <v/>
      </c>
      <c r="BG180" s="736" t="str">
        <f t="shared" si="68"/>
        <v/>
      </c>
      <c r="BH180" s="737" t="str">
        <f t="shared" si="69"/>
        <v/>
      </c>
      <c r="BI180" s="737" t="str">
        <f t="shared" si="70"/>
        <v/>
      </c>
      <c r="BJ180" s="738" t="str">
        <f t="shared" si="71"/>
        <v/>
      </c>
      <c r="BK180" s="730" t="str">
        <f t="shared" si="60"/>
        <v/>
      </c>
    </row>
    <row r="181" spans="31:63" ht="24.95" hidden="1" customHeight="1">
      <c r="AE181" s="488" t="str">
        <f t="shared" si="61"/>
        <v/>
      </c>
      <c r="AF181" s="739" t="str">
        <f t="shared" si="48"/>
        <v/>
      </c>
      <c r="AG181" s="739"/>
      <c r="AH181" s="739"/>
      <c r="AI181" s="720" t="str">
        <f t="shared" si="49"/>
        <v/>
      </c>
      <c r="AJ181" s="275"/>
      <c r="AK181" s="489" t="str">
        <f t="shared" si="50"/>
        <v/>
      </c>
      <c r="AL181" s="489" t="str">
        <f t="shared" si="51"/>
        <v/>
      </c>
      <c r="AM181" s="723" t="str">
        <f t="shared" si="52"/>
        <v/>
      </c>
      <c r="AN181" s="741" t="str">
        <f t="shared" si="62"/>
        <v/>
      </c>
      <c r="AO181" s="742" t="str">
        <f t="shared" si="53"/>
        <v/>
      </c>
      <c r="AP181" s="743" t="str">
        <f t="shared" si="72"/>
        <v/>
      </c>
      <c r="AQ181" s="742" t="str">
        <f t="shared" si="63"/>
        <v/>
      </c>
      <c r="AR181" s="743" t="str">
        <f t="shared" si="64"/>
        <v/>
      </c>
      <c r="AS181" s="728" t="str">
        <f t="shared" si="55"/>
        <v/>
      </c>
      <c r="AW181" s="732" t="str">
        <f t="shared" si="73"/>
        <v/>
      </c>
      <c r="AX181" s="487" t="str">
        <f t="shared" si="57"/>
        <v/>
      </c>
      <c r="AY181" s="487"/>
      <c r="AZ181" s="487"/>
      <c r="BA181" s="720" t="str">
        <f t="shared" si="58"/>
        <v/>
      </c>
      <c r="BB181" s="700"/>
      <c r="BC181" s="732" t="str">
        <f t="shared" si="65"/>
        <v/>
      </c>
      <c r="BD181" s="732" t="str">
        <f t="shared" si="66"/>
        <v/>
      </c>
      <c r="BE181" s="723" t="str">
        <f t="shared" si="59"/>
        <v/>
      </c>
      <c r="BF181" s="734" t="str">
        <f t="shared" si="67"/>
        <v/>
      </c>
      <c r="BG181" s="736" t="str">
        <f t="shared" si="68"/>
        <v/>
      </c>
      <c r="BH181" s="737" t="str">
        <f t="shared" si="69"/>
        <v/>
      </c>
      <c r="BI181" s="737" t="str">
        <f t="shared" si="70"/>
        <v/>
      </c>
      <c r="BJ181" s="738" t="str">
        <f t="shared" si="71"/>
        <v/>
      </c>
      <c r="BK181" s="730" t="str">
        <f t="shared" si="60"/>
        <v/>
      </c>
    </row>
    <row r="182" spans="31:63" ht="24.95" hidden="1" customHeight="1">
      <c r="AE182" s="488" t="str">
        <f t="shared" si="61"/>
        <v/>
      </c>
      <c r="AF182" s="739" t="str">
        <f t="shared" si="48"/>
        <v/>
      </c>
      <c r="AG182" s="739"/>
      <c r="AH182" s="739"/>
      <c r="AI182" s="720" t="str">
        <f t="shared" si="49"/>
        <v/>
      </c>
      <c r="AJ182" s="275"/>
      <c r="AK182" s="489" t="str">
        <f t="shared" si="50"/>
        <v/>
      </c>
      <c r="AL182" s="489" t="str">
        <f t="shared" si="51"/>
        <v/>
      </c>
      <c r="AM182" s="723" t="str">
        <f t="shared" si="52"/>
        <v/>
      </c>
      <c r="AN182" s="741" t="str">
        <f t="shared" si="62"/>
        <v/>
      </c>
      <c r="AO182" s="742" t="str">
        <f t="shared" si="53"/>
        <v/>
      </c>
      <c r="AP182" s="743" t="str">
        <f t="shared" si="72"/>
        <v/>
      </c>
      <c r="AQ182" s="742" t="str">
        <f t="shared" si="63"/>
        <v/>
      </c>
      <c r="AR182" s="743" t="str">
        <f t="shared" si="64"/>
        <v/>
      </c>
      <c r="AS182" s="728" t="str">
        <f t="shared" si="55"/>
        <v/>
      </c>
      <c r="AW182" s="732" t="str">
        <f t="shared" si="73"/>
        <v/>
      </c>
      <c r="AX182" s="487" t="str">
        <f t="shared" si="57"/>
        <v/>
      </c>
      <c r="AY182" s="487"/>
      <c r="AZ182" s="487"/>
      <c r="BA182" s="720" t="str">
        <f t="shared" si="58"/>
        <v/>
      </c>
      <c r="BB182" s="700"/>
      <c r="BC182" s="732" t="str">
        <f t="shared" si="65"/>
        <v/>
      </c>
      <c r="BD182" s="732" t="str">
        <f t="shared" si="66"/>
        <v/>
      </c>
      <c r="BE182" s="723" t="str">
        <f t="shared" si="59"/>
        <v/>
      </c>
      <c r="BF182" s="734" t="str">
        <f t="shared" si="67"/>
        <v/>
      </c>
      <c r="BG182" s="736" t="str">
        <f t="shared" si="68"/>
        <v/>
      </c>
      <c r="BH182" s="737" t="str">
        <f t="shared" si="69"/>
        <v/>
      </c>
      <c r="BI182" s="737" t="str">
        <f t="shared" si="70"/>
        <v/>
      </c>
      <c r="BJ182" s="738" t="str">
        <f t="shared" si="71"/>
        <v/>
      </c>
      <c r="BK182" s="730" t="str">
        <f t="shared" si="60"/>
        <v/>
      </c>
    </row>
    <row r="183" spans="31:63" ht="24.95" hidden="1" customHeight="1">
      <c r="AE183" s="488" t="str">
        <f t="shared" si="61"/>
        <v/>
      </c>
      <c r="AF183" s="739" t="str">
        <f t="shared" si="48"/>
        <v/>
      </c>
      <c r="AG183" s="739"/>
      <c r="AH183" s="739"/>
      <c r="AI183" s="720" t="str">
        <f t="shared" si="49"/>
        <v/>
      </c>
      <c r="AJ183" s="275"/>
      <c r="AK183" s="489" t="str">
        <f t="shared" si="50"/>
        <v/>
      </c>
      <c r="AL183" s="489" t="str">
        <f t="shared" si="51"/>
        <v/>
      </c>
      <c r="AM183" s="723" t="str">
        <f t="shared" si="52"/>
        <v/>
      </c>
      <c r="AN183" s="741" t="str">
        <f t="shared" si="62"/>
        <v/>
      </c>
      <c r="AO183" s="742" t="str">
        <f t="shared" si="53"/>
        <v/>
      </c>
      <c r="AP183" s="743" t="str">
        <f t="shared" si="72"/>
        <v/>
      </c>
      <c r="AQ183" s="742" t="str">
        <f t="shared" si="63"/>
        <v/>
      </c>
      <c r="AR183" s="743" t="str">
        <f t="shared" si="64"/>
        <v/>
      </c>
      <c r="AS183" s="728" t="str">
        <f t="shared" si="55"/>
        <v/>
      </c>
      <c r="AW183" s="732" t="str">
        <f t="shared" si="73"/>
        <v/>
      </c>
      <c r="AX183" s="487" t="str">
        <f t="shared" si="57"/>
        <v/>
      </c>
      <c r="AY183" s="487"/>
      <c r="AZ183" s="487"/>
      <c r="BA183" s="720" t="str">
        <f t="shared" si="58"/>
        <v/>
      </c>
      <c r="BB183" s="700"/>
      <c r="BC183" s="732" t="str">
        <f t="shared" si="65"/>
        <v/>
      </c>
      <c r="BD183" s="732" t="str">
        <f t="shared" si="66"/>
        <v/>
      </c>
      <c r="BE183" s="723" t="str">
        <f t="shared" si="59"/>
        <v/>
      </c>
      <c r="BF183" s="734" t="str">
        <f t="shared" si="67"/>
        <v/>
      </c>
      <c r="BG183" s="736" t="str">
        <f t="shared" si="68"/>
        <v/>
      </c>
      <c r="BH183" s="737" t="str">
        <f t="shared" si="69"/>
        <v/>
      </c>
      <c r="BI183" s="737" t="str">
        <f t="shared" si="70"/>
        <v/>
      </c>
      <c r="BJ183" s="738" t="str">
        <f t="shared" si="71"/>
        <v/>
      </c>
      <c r="BK183" s="730" t="str">
        <f t="shared" si="60"/>
        <v/>
      </c>
    </row>
    <row r="184" spans="31:63" ht="24.95" hidden="1" customHeight="1">
      <c r="AE184" s="488" t="str">
        <f t="shared" si="61"/>
        <v/>
      </c>
      <c r="AF184" s="739" t="str">
        <f t="shared" si="48"/>
        <v/>
      </c>
      <c r="AG184" s="739"/>
      <c r="AH184" s="739"/>
      <c r="AI184" s="720" t="str">
        <f t="shared" si="49"/>
        <v/>
      </c>
      <c r="AJ184" s="275"/>
      <c r="AK184" s="489" t="str">
        <f t="shared" si="50"/>
        <v/>
      </c>
      <c r="AL184" s="489" t="str">
        <f t="shared" si="51"/>
        <v/>
      </c>
      <c r="AM184" s="723" t="str">
        <f t="shared" si="52"/>
        <v/>
      </c>
      <c r="AN184" s="741" t="str">
        <f t="shared" si="62"/>
        <v/>
      </c>
      <c r="AO184" s="742" t="str">
        <f t="shared" si="53"/>
        <v/>
      </c>
      <c r="AP184" s="743" t="str">
        <f t="shared" si="72"/>
        <v/>
      </c>
      <c r="AQ184" s="742" t="str">
        <f t="shared" si="63"/>
        <v/>
      </c>
      <c r="AR184" s="743" t="str">
        <f t="shared" si="64"/>
        <v/>
      </c>
      <c r="AS184" s="728" t="str">
        <f t="shared" si="55"/>
        <v/>
      </c>
      <c r="AW184" s="732" t="str">
        <f t="shared" si="73"/>
        <v/>
      </c>
      <c r="AX184" s="487" t="str">
        <f t="shared" si="57"/>
        <v/>
      </c>
      <c r="AY184" s="487"/>
      <c r="AZ184" s="487"/>
      <c r="BA184" s="720" t="str">
        <f t="shared" si="58"/>
        <v/>
      </c>
      <c r="BB184" s="700"/>
      <c r="BC184" s="732" t="str">
        <f t="shared" si="65"/>
        <v/>
      </c>
      <c r="BD184" s="732" t="str">
        <f t="shared" si="66"/>
        <v/>
      </c>
      <c r="BE184" s="723" t="str">
        <f t="shared" si="59"/>
        <v/>
      </c>
      <c r="BF184" s="734" t="str">
        <f t="shared" si="67"/>
        <v/>
      </c>
      <c r="BG184" s="736" t="str">
        <f t="shared" si="68"/>
        <v/>
      </c>
      <c r="BH184" s="737" t="str">
        <f t="shared" si="69"/>
        <v/>
      </c>
      <c r="BI184" s="737" t="str">
        <f t="shared" si="70"/>
        <v/>
      </c>
      <c r="BJ184" s="738" t="str">
        <f t="shared" si="71"/>
        <v/>
      </c>
      <c r="BK184" s="730" t="str">
        <f t="shared" si="60"/>
        <v/>
      </c>
    </row>
    <row r="185" spans="31:63" ht="24.95" hidden="1" customHeight="1">
      <c r="AE185" s="488" t="str">
        <f t="shared" si="61"/>
        <v/>
      </c>
      <c r="AF185" s="739" t="str">
        <f t="shared" si="48"/>
        <v/>
      </c>
      <c r="AG185" s="739"/>
      <c r="AH185" s="739"/>
      <c r="AI185" s="720" t="str">
        <f t="shared" si="49"/>
        <v/>
      </c>
      <c r="AJ185" s="275"/>
      <c r="AK185" s="489" t="str">
        <f t="shared" si="50"/>
        <v/>
      </c>
      <c r="AL185" s="489" t="str">
        <f t="shared" si="51"/>
        <v/>
      </c>
      <c r="AM185" s="723" t="str">
        <f t="shared" si="52"/>
        <v/>
      </c>
      <c r="AN185" s="741" t="str">
        <f t="shared" si="62"/>
        <v/>
      </c>
      <c r="AO185" s="742" t="str">
        <f t="shared" si="53"/>
        <v/>
      </c>
      <c r="AP185" s="743" t="str">
        <f t="shared" si="72"/>
        <v/>
      </c>
      <c r="AQ185" s="742" t="str">
        <f t="shared" si="63"/>
        <v/>
      </c>
      <c r="AR185" s="743" t="str">
        <f t="shared" si="64"/>
        <v/>
      </c>
      <c r="AS185" s="728" t="str">
        <f t="shared" si="55"/>
        <v/>
      </c>
      <c r="AW185" s="732" t="str">
        <f t="shared" si="73"/>
        <v/>
      </c>
      <c r="AX185" s="487" t="str">
        <f t="shared" si="57"/>
        <v/>
      </c>
      <c r="AY185" s="487"/>
      <c r="AZ185" s="487"/>
      <c r="BA185" s="720" t="str">
        <f t="shared" si="58"/>
        <v/>
      </c>
      <c r="BB185" s="700"/>
      <c r="BC185" s="732" t="str">
        <f t="shared" si="65"/>
        <v/>
      </c>
      <c r="BD185" s="732" t="str">
        <f t="shared" si="66"/>
        <v/>
      </c>
      <c r="BE185" s="723" t="str">
        <f t="shared" si="59"/>
        <v/>
      </c>
      <c r="BF185" s="734" t="str">
        <f t="shared" si="67"/>
        <v/>
      </c>
      <c r="BG185" s="736" t="str">
        <f t="shared" si="68"/>
        <v/>
      </c>
      <c r="BH185" s="737" t="str">
        <f t="shared" si="69"/>
        <v/>
      </c>
      <c r="BI185" s="737" t="str">
        <f t="shared" si="70"/>
        <v/>
      </c>
      <c r="BJ185" s="738" t="str">
        <f t="shared" si="71"/>
        <v/>
      </c>
      <c r="BK185" s="730" t="str">
        <f t="shared" si="60"/>
        <v/>
      </c>
    </row>
    <row r="186" spans="31:63" ht="24.95" hidden="1" customHeight="1">
      <c r="AE186" s="488" t="str">
        <f t="shared" si="61"/>
        <v/>
      </c>
      <c r="AF186" s="739" t="str">
        <f t="shared" si="48"/>
        <v/>
      </c>
      <c r="AG186" s="739"/>
      <c r="AH186" s="739"/>
      <c r="AI186" s="720" t="str">
        <f t="shared" si="49"/>
        <v/>
      </c>
      <c r="AJ186" s="275"/>
      <c r="AK186" s="489" t="str">
        <f t="shared" si="50"/>
        <v/>
      </c>
      <c r="AL186" s="489" t="str">
        <f t="shared" si="51"/>
        <v/>
      </c>
      <c r="AM186" s="723" t="str">
        <f t="shared" si="52"/>
        <v/>
      </c>
      <c r="AN186" s="741" t="str">
        <f t="shared" si="62"/>
        <v/>
      </c>
      <c r="AO186" s="742" t="str">
        <f t="shared" si="53"/>
        <v/>
      </c>
      <c r="AP186" s="743" t="str">
        <f t="shared" si="72"/>
        <v/>
      </c>
      <c r="AQ186" s="742" t="str">
        <f t="shared" si="63"/>
        <v/>
      </c>
      <c r="AR186" s="743" t="str">
        <f t="shared" si="64"/>
        <v/>
      </c>
      <c r="AS186" s="728" t="str">
        <f t="shared" si="55"/>
        <v/>
      </c>
      <c r="AW186" s="732" t="str">
        <f t="shared" si="73"/>
        <v/>
      </c>
      <c r="AX186" s="487" t="str">
        <f t="shared" si="57"/>
        <v/>
      </c>
      <c r="AY186" s="487"/>
      <c r="AZ186" s="487"/>
      <c r="BA186" s="720" t="str">
        <f t="shared" si="58"/>
        <v/>
      </c>
      <c r="BB186" s="700"/>
      <c r="BC186" s="732" t="str">
        <f t="shared" si="65"/>
        <v/>
      </c>
      <c r="BD186" s="732" t="str">
        <f t="shared" si="66"/>
        <v/>
      </c>
      <c r="BE186" s="723" t="str">
        <f t="shared" si="59"/>
        <v/>
      </c>
      <c r="BF186" s="734" t="str">
        <f t="shared" si="67"/>
        <v/>
      </c>
      <c r="BG186" s="736" t="str">
        <f t="shared" si="68"/>
        <v/>
      </c>
      <c r="BH186" s="737" t="str">
        <f t="shared" si="69"/>
        <v/>
      </c>
      <c r="BI186" s="737" t="str">
        <f t="shared" si="70"/>
        <v/>
      </c>
      <c r="BJ186" s="738" t="str">
        <f t="shared" si="71"/>
        <v/>
      </c>
      <c r="BK186" s="730" t="str">
        <f t="shared" si="60"/>
        <v/>
      </c>
    </row>
    <row r="187" spans="31:63" ht="24.95" hidden="1" customHeight="1">
      <c r="AE187" s="488" t="str">
        <f t="shared" si="61"/>
        <v/>
      </c>
      <c r="AF187" s="739" t="str">
        <f t="shared" si="48"/>
        <v/>
      </c>
      <c r="AG187" s="739"/>
      <c r="AH187" s="739"/>
      <c r="AI187" s="720" t="str">
        <f t="shared" si="49"/>
        <v/>
      </c>
      <c r="AJ187" s="275"/>
      <c r="AK187" s="489" t="str">
        <f t="shared" si="50"/>
        <v/>
      </c>
      <c r="AL187" s="489" t="str">
        <f t="shared" si="51"/>
        <v/>
      </c>
      <c r="AM187" s="723" t="str">
        <f t="shared" si="52"/>
        <v/>
      </c>
      <c r="AN187" s="741" t="str">
        <f t="shared" si="62"/>
        <v/>
      </c>
      <c r="AO187" s="742" t="str">
        <f t="shared" si="53"/>
        <v/>
      </c>
      <c r="AP187" s="743" t="str">
        <f t="shared" si="72"/>
        <v/>
      </c>
      <c r="AQ187" s="742" t="str">
        <f t="shared" si="63"/>
        <v/>
      </c>
      <c r="AR187" s="743" t="str">
        <f t="shared" si="64"/>
        <v/>
      </c>
      <c r="AS187" s="728" t="str">
        <f t="shared" si="55"/>
        <v/>
      </c>
      <c r="AW187" s="732" t="str">
        <f t="shared" si="73"/>
        <v/>
      </c>
      <c r="AX187" s="487" t="str">
        <f t="shared" si="57"/>
        <v/>
      </c>
      <c r="AY187" s="487"/>
      <c r="AZ187" s="487"/>
      <c r="BA187" s="720" t="str">
        <f t="shared" si="58"/>
        <v/>
      </c>
      <c r="BB187" s="700"/>
      <c r="BC187" s="732" t="str">
        <f t="shared" si="65"/>
        <v/>
      </c>
      <c r="BD187" s="732" t="str">
        <f t="shared" si="66"/>
        <v/>
      </c>
      <c r="BE187" s="723" t="str">
        <f t="shared" si="59"/>
        <v/>
      </c>
      <c r="BF187" s="734" t="str">
        <f t="shared" si="67"/>
        <v/>
      </c>
      <c r="BG187" s="736" t="str">
        <f t="shared" si="68"/>
        <v/>
      </c>
      <c r="BH187" s="737" t="str">
        <f t="shared" si="69"/>
        <v/>
      </c>
      <c r="BI187" s="737" t="str">
        <f t="shared" si="70"/>
        <v/>
      </c>
      <c r="BJ187" s="738" t="str">
        <f t="shared" si="71"/>
        <v/>
      </c>
      <c r="BK187" s="730" t="str">
        <f t="shared" si="60"/>
        <v/>
      </c>
    </row>
    <row r="188" spans="31:63" ht="24.95" hidden="1" customHeight="1">
      <c r="AE188" s="488" t="str">
        <f t="shared" si="61"/>
        <v/>
      </c>
      <c r="AF188" s="739" t="str">
        <f t="shared" si="48"/>
        <v/>
      </c>
      <c r="AG188" s="739"/>
      <c r="AH188" s="739"/>
      <c r="AI188" s="720" t="str">
        <f t="shared" si="49"/>
        <v/>
      </c>
      <c r="AJ188" s="275"/>
      <c r="AK188" s="489" t="str">
        <f t="shared" si="50"/>
        <v/>
      </c>
      <c r="AL188" s="489" t="str">
        <f t="shared" si="51"/>
        <v/>
      </c>
      <c r="AM188" s="723" t="str">
        <f t="shared" si="52"/>
        <v/>
      </c>
      <c r="AN188" s="741" t="str">
        <f t="shared" si="62"/>
        <v/>
      </c>
      <c r="AO188" s="742" t="str">
        <f t="shared" si="53"/>
        <v/>
      </c>
      <c r="AP188" s="743" t="str">
        <f t="shared" si="72"/>
        <v/>
      </c>
      <c r="AQ188" s="742" t="str">
        <f t="shared" si="63"/>
        <v/>
      </c>
      <c r="AR188" s="743" t="str">
        <f t="shared" si="64"/>
        <v/>
      </c>
      <c r="AS188" s="728" t="str">
        <f t="shared" si="55"/>
        <v/>
      </c>
      <c r="AW188" s="732" t="str">
        <f t="shared" si="73"/>
        <v/>
      </c>
      <c r="AX188" s="487" t="str">
        <f t="shared" si="57"/>
        <v/>
      </c>
      <c r="AY188" s="487"/>
      <c r="AZ188" s="487"/>
      <c r="BA188" s="720" t="str">
        <f t="shared" si="58"/>
        <v/>
      </c>
      <c r="BB188" s="700"/>
      <c r="BC188" s="732" t="str">
        <f t="shared" si="65"/>
        <v/>
      </c>
      <c r="BD188" s="732" t="str">
        <f t="shared" si="66"/>
        <v/>
      </c>
      <c r="BE188" s="723" t="str">
        <f t="shared" si="59"/>
        <v/>
      </c>
      <c r="BF188" s="734" t="str">
        <f t="shared" si="67"/>
        <v/>
      </c>
      <c r="BG188" s="736" t="str">
        <f t="shared" si="68"/>
        <v/>
      </c>
      <c r="BH188" s="737" t="str">
        <f t="shared" si="69"/>
        <v/>
      </c>
      <c r="BI188" s="737" t="str">
        <f t="shared" si="70"/>
        <v/>
      </c>
      <c r="BJ188" s="738" t="str">
        <f t="shared" si="71"/>
        <v/>
      </c>
      <c r="BK188" s="730" t="str">
        <f t="shared" si="60"/>
        <v/>
      </c>
    </row>
    <row r="189" spans="31:63" ht="24.95" hidden="1" customHeight="1">
      <c r="AE189" s="488" t="str">
        <f t="shared" si="61"/>
        <v/>
      </c>
      <c r="AF189" s="739" t="str">
        <f t="shared" si="48"/>
        <v/>
      </c>
      <c r="AG189" s="739"/>
      <c r="AH189" s="739"/>
      <c r="AI189" s="720" t="str">
        <f t="shared" si="49"/>
        <v/>
      </c>
      <c r="AJ189" s="275"/>
      <c r="AK189" s="489" t="str">
        <f t="shared" si="50"/>
        <v/>
      </c>
      <c r="AL189" s="489" t="str">
        <f t="shared" si="51"/>
        <v/>
      </c>
      <c r="AM189" s="723" t="str">
        <f t="shared" si="52"/>
        <v/>
      </c>
      <c r="AN189" s="741" t="str">
        <f t="shared" ref="AN189:AN204" si="74">IF(AI189="","",quote_currency_symbol)</f>
        <v/>
      </c>
      <c r="AO189" s="742" t="str">
        <f t="shared" si="53"/>
        <v/>
      </c>
      <c r="AP189" s="743" t="str">
        <f t="shared" si="72"/>
        <v/>
      </c>
      <c r="AQ189" s="742" t="str">
        <f t="shared" ref="AQ189:AQ204" si="75">IF(M72&lt;&gt;"",T72,"")</f>
        <v/>
      </c>
      <c r="AR189" s="743" t="str">
        <f t="shared" ref="AR189:AR204" si="76">IF(AI189="","",quote_currency_symbol)</f>
        <v/>
      </c>
      <c r="AS189" s="728" t="str">
        <f t="shared" si="55"/>
        <v/>
      </c>
      <c r="AW189" s="732" t="str">
        <f t="shared" si="73"/>
        <v/>
      </c>
      <c r="AX189" s="487" t="str">
        <f t="shared" si="57"/>
        <v/>
      </c>
      <c r="AY189" s="487"/>
      <c r="AZ189" s="487"/>
      <c r="BA189" s="720" t="str">
        <f t="shared" si="58"/>
        <v/>
      </c>
      <c r="BB189" s="700"/>
      <c r="BC189" s="732" t="str">
        <f t="shared" ref="BC189:BC204" si="77">IF(N72&gt;0,N72,"")</f>
        <v/>
      </c>
      <c r="BD189" s="732" t="str">
        <f t="shared" ref="BD189:BD204" si="78">IF(O72&lt;&gt;"",O72,"")</f>
        <v/>
      </c>
      <c r="BE189" s="723" t="str">
        <f t="shared" si="59"/>
        <v/>
      </c>
      <c r="BF189" s="734" t="str">
        <f t="shared" ref="BF189:BF204" si="79">IF(BA189="","",quote_currency_symbol)</f>
        <v/>
      </c>
      <c r="BG189" s="736" t="str">
        <f t="shared" ref="BG189:BG204" si="80">IF(M72&lt;&gt;"",R72,"")</f>
        <v/>
      </c>
      <c r="BH189" s="737" t="str">
        <f t="shared" ref="BH189:BH204" si="81">IF(BA189="","",quote_currency_symbol)</f>
        <v/>
      </c>
      <c r="BI189" s="737" t="str">
        <f t="shared" ref="BI189:BI204" si="82">IF(M72&lt;&gt;"",T72,"")</f>
        <v/>
      </c>
      <c r="BJ189" s="738" t="str">
        <f t="shared" ref="BJ189:BJ204" si="83">IF(BA189="","",quote_currency_symbol)</f>
        <v/>
      </c>
      <c r="BK189" s="730" t="str">
        <f t="shared" si="60"/>
        <v/>
      </c>
    </row>
    <row r="190" spans="31:63" ht="24.95" hidden="1" customHeight="1">
      <c r="AE190" s="488" t="str">
        <f t="shared" si="61"/>
        <v/>
      </c>
      <c r="AF190" s="739" t="str">
        <f t="shared" ref="AF190:AF204" si="84">IF(K73&lt;&gt;"",K73,"")</f>
        <v/>
      </c>
      <c r="AG190" s="739"/>
      <c r="AH190" s="739"/>
      <c r="AI190" s="720" t="str">
        <f t="shared" ref="AI190:AI200" si="85">IF(M73&lt;&gt;"",MID(M73,7,200),"")</f>
        <v/>
      </c>
      <c r="AJ190" s="275"/>
      <c r="AK190" s="489" t="str">
        <f t="shared" ref="AK190:AK204" si="86">IF(N73&gt;0,N73,"")</f>
        <v/>
      </c>
      <c r="AL190" s="489" t="str">
        <f t="shared" ref="AL190:AL204" si="87">IF(O73&lt;&gt;"",O73,"")</f>
        <v/>
      </c>
      <c r="AM190" s="723" t="str">
        <f t="shared" ref="AM190:AM200" si="88">IF(M73&lt;&gt;"",MID(P73,5,100),"")</f>
        <v/>
      </c>
      <c r="AN190" s="741" t="str">
        <f t="shared" si="74"/>
        <v/>
      </c>
      <c r="AO190" s="742" t="str">
        <f t="shared" ref="AO190:AO204" si="89">IF(M73&lt;&gt;"",R73,"")</f>
        <v/>
      </c>
      <c r="AP190" s="743" t="str">
        <f t="shared" ref="AP190:AP204" si="90">IF(AI190="","",quote_currency_symbol)</f>
        <v/>
      </c>
      <c r="AQ190" s="742" t="str">
        <f t="shared" si="75"/>
        <v/>
      </c>
      <c r="AR190" s="743" t="str">
        <f t="shared" si="76"/>
        <v/>
      </c>
      <c r="AS190" s="728" t="str">
        <f t="shared" ref="AS190:AS204" si="91">IF(AND(AI190&lt;&gt;"",AK190&gt;0),(N(AK190))*AO190-AQ190,"")</f>
        <v/>
      </c>
      <c r="AW190" s="732" t="str">
        <f t="shared" ref="AW190:AW204" si="92">IF(M73="","",AW189+1)</f>
        <v/>
      </c>
      <c r="AX190" s="487" t="str">
        <f t="shared" ref="AX190:AX204" si="93">IF(M73&lt;&gt;"",K73,"")</f>
        <v/>
      </c>
      <c r="AY190" s="487"/>
      <c r="AZ190" s="487"/>
      <c r="BA190" s="720" t="str">
        <f t="shared" ref="BA190:BA204" si="94">IF(M73&lt;&gt;"",MID(M73,7,200),"")</f>
        <v/>
      </c>
      <c r="BB190" s="700"/>
      <c r="BC190" s="732" t="str">
        <f t="shared" si="77"/>
        <v/>
      </c>
      <c r="BD190" s="732" t="str">
        <f t="shared" si="78"/>
        <v/>
      </c>
      <c r="BE190" s="723" t="str">
        <f t="shared" ref="BE190:BE204" si="95">IF(M73&lt;&gt;"",MID(P73,5,100),"")</f>
        <v/>
      </c>
      <c r="BF190" s="734" t="str">
        <f t="shared" si="79"/>
        <v/>
      </c>
      <c r="BG190" s="736" t="str">
        <f t="shared" si="80"/>
        <v/>
      </c>
      <c r="BH190" s="737" t="str">
        <f t="shared" si="81"/>
        <v/>
      </c>
      <c r="BI190" s="737" t="str">
        <f t="shared" si="82"/>
        <v/>
      </c>
      <c r="BJ190" s="738" t="str">
        <f t="shared" si="83"/>
        <v/>
      </c>
      <c r="BK190" s="730" t="str">
        <f t="shared" ref="BK190:BK204" si="96">IF(AND(BA190&lt;&gt;"",BC190&gt;0),(N(BC190))*BG190-BI190,"")</f>
        <v/>
      </c>
    </row>
    <row r="191" spans="31:63" ht="24.95" hidden="1" customHeight="1">
      <c r="AE191" s="488" t="str">
        <f t="shared" ref="AE191:AE204" si="97">IF(M74="","",AE190+1)</f>
        <v/>
      </c>
      <c r="AF191" s="739" t="str">
        <f t="shared" si="84"/>
        <v/>
      </c>
      <c r="AG191" s="739"/>
      <c r="AH191" s="739"/>
      <c r="AI191" s="720" t="str">
        <f t="shared" si="85"/>
        <v/>
      </c>
      <c r="AJ191" s="275"/>
      <c r="AK191" s="489" t="str">
        <f t="shared" si="86"/>
        <v/>
      </c>
      <c r="AL191" s="489" t="str">
        <f t="shared" si="87"/>
        <v/>
      </c>
      <c r="AM191" s="723" t="str">
        <f t="shared" si="88"/>
        <v/>
      </c>
      <c r="AN191" s="741" t="str">
        <f t="shared" si="74"/>
        <v/>
      </c>
      <c r="AO191" s="742" t="str">
        <f t="shared" si="89"/>
        <v/>
      </c>
      <c r="AP191" s="743" t="str">
        <f t="shared" si="90"/>
        <v/>
      </c>
      <c r="AQ191" s="742" t="str">
        <f t="shared" si="75"/>
        <v/>
      </c>
      <c r="AR191" s="743" t="str">
        <f t="shared" si="76"/>
        <v/>
      </c>
      <c r="AS191" s="728" t="str">
        <f t="shared" si="91"/>
        <v/>
      </c>
      <c r="AW191" s="732" t="str">
        <f t="shared" si="92"/>
        <v/>
      </c>
      <c r="AX191" s="487" t="str">
        <f t="shared" si="93"/>
        <v/>
      </c>
      <c r="AY191" s="487"/>
      <c r="AZ191" s="487"/>
      <c r="BA191" s="720" t="str">
        <f t="shared" si="94"/>
        <v/>
      </c>
      <c r="BB191" s="700"/>
      <c r="BC191" s="732" t="str">
        <f t="shared" si="77"/>
        <v/>
      </c>
      <c r="BD191" s="732" t="str">
        <f t="shared" si="78"/>
        <v/>
      </c>
      <c r="BE191" s="723" t="str">
        <f t="shared" si="95"/>
        <v/>
      </c>
      <c r="BF191" s="734" t="str">
        <f t="shared" si="79"/>
        <v/>
      </c>
      <c r="BG191" s="736" t="str">
        <f t="shared" si="80"/>
        <v/>
      </c>
      <c r="BH191" s="737" t="str">
        <f t="shared" si="81"/>
        <v/>
      </c>
      <c r="BI191" s="737" t="str">
        <f t="shared" si="82"/>
        <v/>
      </c>
      <c r="BJ191" s="738" t="str">
        <f t="shared" si="83"/>
        <v/>
      </c>
      <c r="BK191" s="730" t="str">
        <f t="shared" si="96"/>
        <v/>
      </c>
    </row>
    <row r="192" spans="31:63" ht="24.95" hidden="1" customHeight="1">
      <c r="AE192" s="488" t="str">
        <f t="shared" si="97"/>
        <v/>
      </c>
      <c r="AF192" s="739" t="str">
        <f t="shared" si="84"/>
        <v/>
      </c>
      <c r="AG192" s="739"/>
      <c r="AH192" s="739"/>
      <c r="AI192" s="720" t="str">
        <f t="shared" si="85"/>
        <v/>
      </c>
      <c r="AJ192" s="275"/>
      <c r="AK192" s="489" t="str">
        <f t="shared" si="86"/>
        <v/>
      </c>
      <c r="AL192" s="489" t="str">
        <f t="shared" si="87"/>
        <v/>
      </c>
      <c r="AM192" s="723" t="str">
        <f t="shared" si="88"/>
        <v/>
      </c>
      <c r="AN192" s="741" t="str">
        <f t="shared" si="74"/>
        <v/>
      </c>
      <c r="AO192" s="742" t="str">
        <f t="shared" si="89"/>
        <v/>
      </c>
      <c r="AP192" s="743" t="str">
        <f t="shared" si="90"/>
        <v/>
      </c>
      <c r="AQ192" s="742" t="str">
        <f t="shared" si="75"/>
        <v/>
      </c>
      <c r="AR192" s="743" t="str">
        <f t="shared" si="76"/>
        <v/>
      </c>
      <c r="AS192" s="728" t="str">
        <f t="shared" si="91"/>
        <v/>
      </c>
      <c r="AW192" s="732" t="str">
        <f t="shared" si="92"/>
        <v/>
      </c>
      <c r="AX192" s="487" t="str">
        <f t="shared" si="93"/>
        <v/>
      </c>
      <c r="AY192" s="487"/>
      <c r="AZ192" s="487"/>
      <c r="BA192" s="720" t="str">
        <f t="shared" si="94"/>
        <v/>
      </c>
      <c r="BB192" s="700"/>
      <c r="BC192" s="732" t="str">
        <f t="shared" si="77"/>
        <v/>
      </c>
      <c r="BD192" s="732" t="str">
        <f t="shared" si="78"/>
        <v/>
      </c>
      <c r="BE192" s="723" t="str">
        <f t="shared" si="95"/>
        <v/>
      </c>
      <c r="BF192" s="734" t="str">
        <f t="shared" si="79"/>
        <v/>
      </c>
      <c r="BG192" s="736" t="str">
        <f t="shared" si="80"/>
        <v/>
      </c>
      <c r="BH192" s="737" t="str">
        <f t="shared" si="81"/>
        <v/>
      </c>
      <c r="BI192" s="737" t="str">
        <f t="shared" si="82"/>
        <v/>
      </c>
      <c r="BJ192" s="738" t="str">
        <f t="shared" si="83"/>
        <v/>
      </c>
      <c r="BK192" s="730" t="str">
        <f t="shared" si="96"/>
        <v/>
      </c>
    </row>
    <row r="193" spans="31:63" ht="24.95" hidden="1" customHeight="1">
      <c r="AE193" s="488" t="str">
        <f t="shared" si="97"/>
        <v/>
      </c>
      <c r="AF193" s="739" t="str">
        <f t="shared" si="84"/>
        <v/>
      </c>
      <c r="AG193" s="739"/>
      <c r="AH193" s="739"/>
      <c r="AI193" s="720" t="str">
        <f t="shared" si="85"/>
        <v/>
      </c>
      <c r="AJ193" s="275"/>
      <c r="AK193" s="489" t="str">
        <f t="shared" si="86"/>
        <v/>
      </c>
      <c r="AL193" s="489" t="str">
        <f t="shared" si="87"/>
        <v/>
      </c>
      <c r="AM193" s="723" t="str">
        <f t="shared" si="88"/>
        <v/>
      </c>
      <c r="AN193" s="741" t="str">
        <f t="shared" si="74"/>
        <v/>
      </c>
      <c r="AO193" s="742" t="str">
        <f t="shared" si="89"/>
        <v/>
      </c>
      <c r="AP193" s="743" t="str">
        <f t="shared" si="90"/>
        <v/>
      </c>
      <c r="AQ193" s="742" t="str">
        <f t="shared" si="75"/>
        <v/>
      </c>
      <c r="AR193" s="743" t="str">
        <f t="shared" si="76"/>
        <v/>
      </c>
      <c r="AS193" s="728" t="str">
        <f t="shared" si="91"/>
        <v/>
      </c>
      <c r="AW193" s="732" t="str">
        <f t="shared" si="92"/>
        <v/>
      </c>
      <c r="AX193" s="487" t="str">
        <f t="shared" si="93"/>
        <v/>
      </c>
      <c r="AY193" s="487"/>
      <c r="AZ193" s="487"/>
      <c r="BA193" s="720" t="str">
        <f t="shared" si="94"/>
        <v/>
      </c>
      <c r="BB193" s="700"/>
      <c r="BC193" s="732" t="str">
        <f t="shared" si="77"/>
        <v/>
      </c>
      <c r="BD193" s="732" t="str">
        <f t="shared" si="78"/>
        <v/>
      </c>
      <c r="BE193" s="723" t="str">
        <f t="shared" si="95"/>
        <v/>
      </c>
      <c r="BF193" s="734" t="str">
        <f t="shared" si="79"/>
        <v/>
      </c>
      <c r="BG193" s="736" t="str">
        <f t="shared" si="80"/>
        <v/>
      </c>
      <c r="BH193" s="737" t="str">
        <f t="shared" si="81"/>
        <v/>
      </c>
      <c r="BI193" s="737" t="str">
        <f t="shared" si="82"/>
        <v/>
      </c>
      <c r="BJ193" s="738" t="str">
        <f t="shared" si="83"/>
        <v/>
      </c>
      <c r="BK193" s="730" t="str">
        <f t="shared" si="96"/>
        <v/>
      </c>
    </row>
    <row r="194" spans="31:63" ht="24.95" hidden="1" customHeight="1">
      <c r="AE194" s="488" t="str">
        <f t="shared" si="97"/>
        <v/>
      </c>
      <c r="AF194" s="739" t="str">
        <f t="shared" si="84"/>
        <v/>
      </c>
      <c r="AG194" s="739"/>
      <c r="AH194" s="739"/>
      <c r="AI194" s="720" t="str">
        <f t="shared" si="85"/>
        <v/>
      </c>
      <c r="AJ194" s="275"/>
      <c r="AK194" s="489" t="str">
        <f t="shared" si="86"/>
        <v/>
      </c>
      <c r="AL194" s="489" t="str">
        <f t="shared" si="87"/>
        <v/>
      </c>
      <c r="AM194" s="723" t="str">
        <f t="shared" si="88"/>
        <v/>
      </c>
      <c r="AN194" s="741" t="str">
        <f t="shared" si="74"/>
        <v/>
      </c>
      <c r="AO194" s="742" t="str">
        <f t="shared" si="89"/>
        <v/>
      </c>
      <c r="AP194" s="743" t="str">
        <f t="shared" si="90"/>
        <v/>
      </c>
      <c r="AQ194" s="742" t="str">
        <f t="shared" si="75"/>
        <v/>
      </c>
      <c r="AR194" s="743" t="str">
        <f t="shared" si="76"/>
        <v/>
      </c>
      <c r="AS194" s="728" t="str">
        <f t="shared" si="91"/>
        <v/>
      </c>
      <c r="AW194" s="732" t="str">
        <f t="shared" si="92"/>
        <v/>
      </c>
      <c r="AX194" s="487" t="str">
        <f t="shared" si="93"/>
        <v/>
      </c>
      <c r="AY194" s="487"/>
      <c r="AZ194" s="487"/>
      <c r="BA194" s="720" t="str">
        <f t="shared" si="94"/>
        <v/>
      </c>
      <c r="BB194" s="700"/>
      <c r="BC194" s="732" t="str">
        <f t="shared" si="77"/>
        <v/>
      </c>
      <c r="BD194" s="732" t="str">
        <f t="shared" si="78"/>
        <v/>
      </c>
      <c r="BE194" s="723" t="str">
        <f t="shared" si="95"/>
        <v/>
      </c>
      <c r="BF194" s="734" t="str">
        <f t="shared" si="79"/>
        <v/>
      </c>
      <c r="BG194" s="736" t="str">
        <f t="shared" si="80"/>
        <v/>
      </c>
      <c r="BH194" s="737" t="str">
        <f t="shared" si="81"/>
        <v/>
      </c>
      <c r="BI194" s="737" t="str">
        <f t="shared" si="82"/>
        <v/>
      </c>
      <c r="BJ194" s="738" t="str">
        <f t="shared" si="83"/>
        <v/>
      </c>
      <c r="BK194" s="730" t="str">
        <f t="shared" si="96"/>
        <v/>
      </c>
    </row>
    <row r="195" spans="31:63" ht="24.95" hidden="1" customHeight="1">
      <c r="AE195" s="488" t="str">
        <f t="shared" si="97"/>
        <v/>
      </c>
      <c r="AF195" s="739" t="str">
        <f t="shared" si="84"/>
        <v/>
      </c>
      <c r="AG195" s="739"/>
      <c r="AH195" s="739"/>
      <c r="AI195" s="720" t="str">
        <f t="shared" si="85"/>
        <v/>
      </c>
      <c r="AJ195" s="275"/>
      <c r="AK195" s="489" t="str">
        <f t="shared" si="86"/>
        <v/>
      </c>
      <c r="AL195" s="489" t="str">
        <f t="shared" si="87"/>
        <v/>
      </c>
      <c r="AM195" s="723" t="str">
        <f t="shared" si="88"/>
        <v/>
      </c>
      <c r="AN195" s="741" t="str">
        <f t="shared" si="74"/>
        <v/>
      </c>
      <c r="AO195" s="742" t="str">
        <f t="shared" si="89"/>
        <v/>
      </c>
      <c r="AP195" s="743" t="str">
        <f t="shared" si="90"/>
        <v/>
      </c>
      <c r="AQ195" s="742" t="str">
        <f t="shared" si="75"/>
        <v/>
      </c>
      <c r="AR195" s="743" t="str">
        <f t="shared" si="76"/>
        <v/>
      </c>
      <c r="AS195" s="728" t="str">
        <f t="shared" si="91"/>
        <v/>
      </c>
      <c r="AW195" s="732" t="str">
        <f t="shared" si="92"/>
        <v/>
      </c>
      <c r="AX195" s="487" t="str">
        <f t="shared" si="93"/>
        <v/>
      </c>
      <c r="AY195" s="487"/>
      <c r="AZ195" s="487"/>
      <c r="BA195" s="720" t="str">
        <f t="shared" si="94"/>
        <v/>
      </c>
      <c r="BB195" s="700"/>
      <c r="BC195" s="732" t="str">
        <f t="shared" si="77"/>
        <v/>
      </c>
      <c r="BD195" s="732" t="str">
        <f>IF(O78&lt;&gt;"",O78,"")</f>
        <v/>
      </c>
      <c r="BE195" s="723" t="str">
        <f t="shared" si="95"/>
        <v/>
      </c>
      <c r="BF195" s="734" t="str">
        <f t="shared" si="79"/>
        <v/>
      </c>
      <c r="BG195" s="736" t="str">
        <f t="shared" si="80"/>
        <v/>
      </c>
      <c r="BH195" s="737" t="str">
        <f t="shared" si="81"/>
        <v/>
      </c>
      <c r="BI195" s="737" t="str">
        <f t="shared" si="82"/>
        <v/>
      </c>
      <c r="BJ195" s="738" t="str">
        <f t="shared" si="83"/>
        <v/>
      </c>
      <c r="BK195" s="730" t="str">
        <f t="shared" si="96"/>
        <v/>
      </c>
    </row>
    <row r="196" spans="31:63" ht="24.95" hidden="1" customHeight="1">
      <c r="AE196" s="488" t="str">
        <f t="shared" si="97"/>
        <v/>
      </c>
      <c r="AF196" s="739" t="str">
        <f t="shared" si="84"/>
        <v/>
      </c>
      <c r="AG196" s="739"/>
      <c r="AH196" s="739"/>
      <c r="AI196" s="720" t="str">
        <f t="shared" si="85"/>
        <v/>
      </c>
      <c r="AJ196" s="275"/>
      <c r="AK196" s="489" t="str">
        <f t="shared" si="86"/>
        <v/>
      </c>
      <c r="AL196" s="489" t="str">
        <f t="shared" si="87"/>
        <v/>
      </c>
      <c r="AM196" s="723" t="str">
        <f t="shared" si="88"/>
        <v/>
      </c>
      <c r="AN196" s="741" t="str">
        <f t="shared" si="74"/>
        <v/>
      </c>
      <c r="AO196" s="742" t="str">
        <f t="shared" si="89"/>
        <v/>
      </c>
      <c r="AP196" s="743" t="str">
        <f t="shared" si="90"/>
        <v/>
      </c>
      <c r="AQ196" s="742" t="str">
        <f t="shared" si="75"/>
        <v/>
      </c>
      <c r="AR196" s="743" t="str">
        <f t="shared" si="76"/>
        <v/>
      </c>
      <c r="AS196" s="728" t="str">
        <f t="shared" si="91"/>
        <v/>
      </c>
      <c r="AW196" s="732" t="str">
        <f t="shared" si="92"/>
        <v/>
      </c>
      <c r="AX196" s="487" t="str">
        <f t="shared" si="93"/>
        <v/>
      </c>
      <c r="AY196" s="487"/>
      <c r="AZ196" s="487"/>
      <c r="BA196" s="720" t="str">
        <f t="shared" si="94"/>
        <v/>
      </c>
      <c r="BB196" s="700"/>
      <c r="BC196" s="732" t="str">
        <f t="shared" si="77"/>
        <v/>
      </c>
      <c r="BD196" s="732" t="str">
        <f t="shared" si="78"/>
        <v/>
      </c>
      <c r="BE196" s="723" t="str">
        <f t="shared" si="95"/>
        <v/>
      </c>
      <c r="BF196" s="734" t="str">
        <f t="shared" si="79"/>
        <v/>
      </c>
      <c r="BG196" s="736" t="str">
        <f t="shared" si="80"/>
        <v/>
      </c>
      <c r="BH196" s="737" t="str">
        <f t="shared" si="81"/>
        <v/>
      </c>
      <c r="BI196" s="737" t="str">
        <f t="shared" si="82"/>
        <v/>
      </c>
      <c r="BJ196" s="738" t="str">
        <f t="shared" si="83"/>
        <v/>
      </c>
      <c r="BK196" s="730" t="str">
        <f t="shared" si="96"/>
        <v/>
      </c>
    </row>
    <row r="197" spans="31:63" ht="24.95" hidden="1" customHeight="1">
      <c r="AE197" s="488" t="str">
        <f t="shared" si="97"/>
        <v/>
      </c>
      <c r="AF197" s="739" t="str">
        <f t="shared" si="84"/>
        <v/>
      </c>
      <c r="AG197" s="739"/>
      <c r="AH197" s="739"/>
      <c r="AI197" s="720" t="str">
        <f t="shared" si="85"/>
        <v/>
      </c>
      <c r="AJ197" s="275"/>
      <c r="AK197" s="489" t="str">
        <f t="shared" si="86"/>
        <v/>
      </c>
      <c r="AL197" s="489" t="str">
        <f t="shared" si="87"/>
        <v/>
      </c>
      <c r="AM197" s="723" t="str">
        <f t="shared" si="88"/>
        <v/>
      </c>
      <c r="AN197" s="741" t="str">
        <f t="shared" si="74"/>
        <v/>
      </c>
      <c r="AO197" s="742" t="str">
        <f t="shared" si="89"/>
        <v/>
      </c>
      <c r="AP197" s="743" t="str">
        <f t="shared" si="90"/>
        <v/>
      </c>
      <c r="AQ197" s="742" t="str">
        <f t="shared" si="75"/>
        <v/>
      </c>
      <c r="AR197" s="743" t="str">
        <f t="shared" si="76"/>
        <v/>
      </c>
      <c r="AS197" s="728" t="str">
        <f t="shared" si="91"/>
        <v/>
      </c>
      <c r="AW197" s="732" t="str">
        <f t="shared" si="92"/>
        <v/>
      </c>
      <c r="AX197" s="487" t="str">
        <f t="shared" si="93"/>
        <v/>
      </c>
      <c r="AY197" s="487"/>
      <c r="AZ197" s="487"/>
      <c r="BA197" s="720" t="str">
        <f t="shared" si="94"/>
        <v/>
      </c>
      <c r="BB197" s="700"/>
      <c r="BC197" s="732" t="str">
        <f t="shared" si="77"/>
        <v/>
      </c>
      <c r="BD197" s="732" t="str">
        <f t="shared" si="78"/>
        <v/>
      </c>
      <c r="BE197" s="723" t="str">
        <f t="shared" si="95"/>
        <v/>
      </c>
      <c r="BF197" s="734" t="str">
        <f t="shared" si="79"/>
        <v/>
      </c>
      <c r="BG197" s="736" t="str">
        <f t="shared" si="80"/>
        <v/>
      </c>
      <c r="BH197" s="737" t="str">
        <f t="shared" si="81"/>
        <v/>
      </c>
      <c r="BI197" s="737" t="str">
        <f t="shared" si="82"/>
        <v/>
      </c>
      <c r="BJ197" s="738" t="str">
        <f t="shared" si="83"/>
        <v/>
      </c>
      <c r="BK197" s="730" t="str">
        <f t="shared" si="96"/>
        <v/>
      </c>
    </row>
    <row r="198" spans="31:63" ht="24.95" hidden="1" customHeight="1">
      <c r="AE198" s="488" t="str">
        <f t="shared" si="97"/>
        <v/>
      </c>
      <c r="AF198" s="739" t="str">
        <f t="shared" si="84"/>
        <v/>
      </c>
      <c r="AG198" s="739"/>
      <c r="AH198" s="739"/>
      <c r="AI198" s="720" t="str">
        <f t="shared" si="85"/>
        <v/>
      </c>
      <c r="AJ198" s="275"/>
      <c r="AK198" s="489" t="str">
        <f t="shared" si="86"/>
        <v/>
      </c>
      <c r="AL198" s="489" t="str">
        <f t="shared" si="87"/>
        <v/>
      </c>
      <c r="AM198" s="723" t="str">
        <f t="shared" si="88"/>
        <v/>
      </c>
      <c r="AN198" s="741" t="str">
        <f t="shared" si="74"/>
        <v/>
      </c>
      <c r="AO198" s="742" t="str">
        <f t="shared" si="89"/>
        <v/>
      </c>
      <c r="AP198" s="743" t="str">
        <f t="shared" si="90"/>
        <v/>
      </c>
      <c r="AQ198" s="742" t="str">
        <f t="shared" si="75"/>
        <v/>
      </c>
      <c r="AR198" s="743" t="str">
        <f t="shared" si="76"/>
        <v/>
      </c>
      <c r="AS198" s="728" t="str">
        <f t="shared" si="91"/>
        <v/>
      </c>
      <c r="AW198" s="732" t="str">
        <f t="shared" si="92"/>
        <v/>
      </c>
      <c r="AX198" s="487" t="str">
        <f t="shared" si="93"/>
        <v/>
      </c>
      <c r="AY198" s="487"/>
      <c r="AZ198" s="487"/>
      <c r="BA198" s="720" t="str">
        <f t="shared" si="94"/>
        <v/>
      </c>
      <c r="BB198" s="700"/>
      <c r="BC198" s="732" t="str">
        <f t="shared" si="77"/>
        <v/>
      </c>
      <c r="BD198" s="732" t="str">
        <f t="shared" si="78"/>
        <v/>
      </c>
      <c r="BE198" s="723" t="str">
        <f t="shared" si="95"/>
        <v/>
      </c>
      <c r="BF198" s="734" t="str">
        <f t="shared" si="79"/>
        <v/>
      </c>
      <c r="BG198" s="736" t="str">
        <f t="shared" si="80"/>
        <v/>
      </c>
      <c r="BH198" s="737" t="str">
        <f t="shared" si="81"/>
        <v/>
      </c>
      <c r="BI198" s="737" t="str">
        <f t="shared" si="82"/>
        <v/>
      </c>
      <c r="BJ198" s="738" t="str">
        <f t="shared" si="83"/>
        <v/>
      </c>
      <c r="BK198" s="730" t="str">
        <f t="shared" si="96"/>
        <v/>
      </c>
    </row>
    <row r="199" spans="31:63" ht="24.95" hidden="1" customHeight="1">
      <c r="AE199" s="488" t="str">
        <f t="shared" si="97"/>
        <v/>
      </c>
      <c r="AF199" s="739" t="str">
        <f t="shared" si="84"/>
        <v/>
      </c>
      <c r="AG199" s="739"/>
      <c r="AH199" s="739"/>
      <c r="AI199" s="720" t="str">
        <f t="shared" si="85"/>
        <v/>
      </c>
      <c r="AJ199" s="275"/>
      <c r="AK199" s="489" t="str">
        <f t="shared" si="86"/>
        <v/>
      </c>
      <c r="AL199" s="489" t="str">
        <f t="shared" si="87"/>
        <v/>
      </c>
      <c r="AM199" s="723" t="str">
        <f t="shared" si="88"/>
        <v/>
      </c>
      <c r="AN199" s="741" t="str">
        <f t="shared" si="74"/>
        <v/>
      </c>
      <c r="AO199" s="742" t="str">
        <f t="shared" si="89"/>
        <v/>
      </c>
      <c r="AP199" s="743" t="str">
        <f t="shared" si="90"/>
        <v/>
      </c>
      <c r="AQ199" s="742" t="str">
        <f t="shared" si="75"/>
        <v/>
      </c>
      <c r="AR199" s="743" t="str">
        <f t="shared" si="76"/>
        <v/>
      </c>
      <c r="AS199" s="728" t="str">
        <f t="shared" si="91"/>
        <v/>
      </c>
      <c r="AW199" s="732" t="str">
        <f t="shared" si="92"/>
        <v/>
      </c>
      <c r="AX199" s="487" t="str">
        <f t="shared" si="93"/>
        <v/>
      </c>
      <c r="AY199" s="487"/>
      <c r="AZ199" s="487"/>
      <c r="BA199" s="720" t="str">
        <f t="shared" si="94"/>
        <v/>
      </c>
      <c r="BB199" s="700"/>
      <c r="BC199" s="732" t="str">
        <f t="shared" si="77"/>
        <v/>
      </c>
      <c r="BD199" s="732" t="str">
        <f t="shared" si="78"/>
        <v/>
      </c>
      <c r="BE199" s="723" t="str">
        <f t="shared" si="95"/>
        <v/>
      </c>
      <c r="BF199" s="734" t="str">
        <f t="shared" si="79"/>
        <v/>
      </c>
      <c r="BG199" s="736" t="str">
        <f t="shared" si="80"/>
        <v/>
      </c>
      <c r="BH199" s="737" t="str">
        <f t="shared" si="81"/>
        <v/>
      </c>
      <c r="BI199" s="737" t="str">
        <f t="shared" si="82"/>
        <v/>
      </c>
      <c r="BJ199" s="738" t="str">
        <f t="shared" si="83"/>
        <v/>
      </c>
      <c r="BK199" s="730" t="str">
        <f t="shared" si="96"/>
        <v/>
      </c>
    </row>
    <row r="200" spans="31:63" ht="24.95" hidden="1" customHeight="1">
      <c r="AE200" s="488" t="str">
        <f t="shared" si="97"/>
        <v/>
      </c>
      <c r="AF200" s="739" t="str">
        <f t="shared" si="84"/>
        <v/>
      </c>
      <c r="AG200" s="739"/>
      <c r="AH200" s="739"/>
      <c r="AI200" s="720" t="str">
        <f t="shared" si="85"/>
        <v/>
      </c>
      <c r="AJ200" s="275"/>
      <c r="AK200" s="489" t="str">
        <f t="shared" si="86"/>
        <v/>
      </c>
      <c r="AL200" s="489" t="str">
        <f t="shared" si="87"/>
        <v/>
      </c>
      <c r="AM200" s="723" t="str">
        <f t="shared" si="88"/>
        <v/>
      </c>
      <c r="AN200" s="741" t="str">
        <f t="shared" si="74"/>
        <v/>
      </c>
      <c r="AO200" s="742" t="str">
        <f t="shared" si="89"/>
        <v/>
      </c>
      <c r="AP200" s="743" t="str">
        <f t="shared" si="90"/>
        <v/>
      </c>
      <c r="AQ200" s="742" t="str">
        <f t="shared" si="75"/>
        <v/>
      </c>
      <c r="AR200" s="743" t="str">
        <f t="shared" si="76"/>
        <v/>
      </c>
      <c r="AS200" s="728" t="str">
        <f t="shared" si="91"/>
        <v/>
      </c>
      <c r="AW200" s="732" t="str">
        <f t="shared" si="92"/>
        <v/>
      </c>
      <c r="AX200" s="487" t="str">
        <f t="shared" si="93"/>
        <v/>
      </c>
      <c r="AY200" s="487"/>
      <c r="AZ200" s="487"/>
      <c r="BA200" s="720" t="str">
        <f t="shared" si="94"/>
        <v/>
      </c>
      <c r="BB200" s="700"/>
      <c r="BC200" s="732" t="str">
        <f t="shared" si="77"/>
        <v/>
      </c>
      <c r="BD200" s="732" t="str">
        <f t="shared" si="78"/>
        <v/>
      </c>
      <c r="BE200" s="723" t="str">
        <f t="shared" si="95"/>
        <v/>
      </c>
      <c r="BF200" s="734" t="str">
        <f t="shared" si="79"/>
        <v/>
      </c>
      <c r="BG200" s="736" t="str">
        <f t="shared" si="80"/>
        <v/>
      </c>
      <c r="BH200" s="737" t="str">
        <f t="shared" si="81"/>
        <v/>
      </c>
      <c r="BI200" s="737" t="str">
        <f t="shared" si="82"/>
        <v/>
      </c>
      <c r="BJ200" s="738" t="str">
        <f t="shared" si="83"/>
        <v/>
      </c>
      <c r="BK200" s="730" t="str">
        <f t="shared" si="96"/>
        <v/>
      </c>
    </row>
    <row r="201" spans="31:63" ht="24.95" hidden="1" customHeight="1">
      <c r="AE201" s="488" t="str">
        <f t="shared" si="97"/>
        <v/>
      </c>
      <c r="AF201" s="739" t="str">
        <f t="shared" si="84"/>
        <v/>
      </c>
      <c r="AG201" s="739"/>
      <c r="AH201" s="739"/>
      <c r="AI201" s="274" t="str">
        <f t="shared" ref="AI201:AI202" si="98">IF(M84&lt;&gt;"",MID(M84,4,100),"")</f>
        <v/>
      </c>
      <c r="AJ201" s="275"/>
      <c r="AK201" s="489" t="str">
        <f t="shared" si="86"/>
        <v/>
      </c>
      <c r="AL201" s="489" t="str">
        <f t="shared" si="87"/>
        <v/>
      </c>
      <c r="AM201" s="740" t="str">
        <f t="shared" ref="AM201:AM204" si="99">IF(M84&lt;&gt;"",MID(P84,4,100),"")</f>
        <v/>
      </c>
      <c r="AN201" s="741" t="str">
        <f t="shared" si="74"/>
        <v/>
      </c>
      <c r="AO201" s="742" t="str">
        <f t="shared" si="89"/>
        <v/>
      </c>
      <c r="AP201" s="743" t="str">
        <f t="shared" si="90"/>
        <v/>
      </c>
      <c r="AQ201" s="742" t="str">
        <f t="shared" si="75"/>
        <v/>
      </c>
      <c r="AR201" s="743" t="str">
        <f t="shared" si="76"/>
        <v/>
      </c>
      <c r="AS201" s="728" t="str">
        <f t="shared" si="91"/>
        <v/>
      </c>
      <c r="AW201" s="732" t="str">
        <f t="shared" si="92"/>
        <v/>
      </c>
      <c r="AX201" s="487" t="str">
        <f t="shared" si="93"/>
        <v/>
      </c>
      <c r="AY201" s="487"/>
      <c r="AZ201" s="487"/>
      <c r="BA201" s="720" t="str">
        <f t="shared" si="94"/>
        <v/>
      </c>
      <c r="BB201" s="700"/>
      <c r="BC201" s="732" t="str">
        <f t="shared" si="77"/>
        <v/>
      </c>
      <c r="BD201" s="732" t="str">
        <f t="shared" si="78"/>
        <v/>
      </c>
      <c r="BE201" s="723" t="str">
        <f t="shared" si="95"/>
        <v/>
      </c>
      <c r="BF201" s="734" t="str">
        <f t="shared" si="79"/>
        <v/>
      </c>
      <c r="BG201" s="736" t="str">
        <f t="shared" si="80"/>
        <v/>
      </c>
      <c r="BH201" s="737" t="str">
        <f t="shared" si="81"/>
        <v/>
      </c>
      <c r="BI201" s="737" t="str">
        <f t="shared" si="82"/>
        <v/>
      </c>
      <c r="BJ201" s="738" t="str">
        <f t="shared" si="83"/>
        <v/>
      </c>
      <c r="BK201" s="730" t="str">
        <f t="shared" si="96"/>
        <v/>
      </c>
    </row>
    <row r="202" spans="31:63" ht="24.95" hidden="1" customHeight="1">
      <c r="AE202" s="488" t="str">
        <f t="shared" si="97"/>
        <v/>
      </c>
      <c r="AF202" s="739" t="str">
        <f t="shared" si="84"/>
        <v/>
      </c>
      <c r="AG202" s="739"/>
      <c r="AH202" s="739"/>
      <c r="AI202" s="274" t="str">
        <f t="shared" si="98"/>
        <v/>
      </c>
      <c r="AJ202" s="275"/>
      <c r="AK202" s="489" t="str">
        <f t="shared" si="86"/>
        <v/>
      </c>
      <c r="AL202" s="489" t="str">
        <f t="shared" si="87"/>
        <v/>
      </c>
      <c r="AM202" s="740" t="str">
        <f t="shared" si="99"/>
        <v/>
      </c>
      <c r="AN202" s="741" t="str">
        <f t="shared" si="74"/>
        <v/>
      </c>
      <c r="AO202" s="742" t="str">
        <f t="shared" si="89"/>
        <v/>
      </c>
      <c r="AP202" s="743" t="str">
        <f t="shared" si="90"/>
        <v/>
      </c>
      <c r="AQ202" s="742" t="str">
        <f t="shared" si="75"/>
        <v/>
      </c>
      <c r="AR202" s="743" t="str">
        <f t="shared" si="76"/>
        <v/>
      </c>
      <c r="AS202" s="728" t="str">
        <f t="shared" si="91"/>
        <v/>
      </c>
      <c r="AW202" s="732" t="str">
        <f t="shared" si="92"/>
        <v/>
      </c>
      <c r="AX202" s="487" t="str">
        <f t="shared" si="93"/>
        <v/>
      </c>
      <c r="AY202" s="487"/>
      <c r="AZ202" s="487"/>
      <c r="BA202" s="720" t="str">
        <f t="shared" si="94"/>
        <v/>
      </c>
      <c r="BB202" s="700"/>
      <c r="BC202" s="732" t="str">
        <f t="shared" si="77"/>
        <v/>
      </c>
      <c r="BD202" s="732" t="str">
        <f t="shared" si="78"/>
        <v/>
      </c>
      <c r="BE202" s="723" t="str">
        <f t="shared" si="95"/>
        <v/>
      </c>
      <c r="BF202" s="734" t="str">
        <f t="shared" si="79"/>
        <v/>
      </c>
      <c r="BG202" s="736" t="str">
        <f t="shared" si="80"/>
        <v/>
      </c>
      <c r="BH202" s="737" t="str">
        <f t="shared" si="81"/>
        <v/>
      </c>
      <c r="BI202" s="737" t="str">
        <f t="shared" si="82"/>
        <v/>
      </c>
      <c r="BJ202" s="738" t="str">
        <f t="shared" si="83"/>
        <v/>
      </c>
      <c r="BK202" s="730" t="str">
        <f t="shared" si="96"/>
        <v/>
      </c>
    </row>
    <row r="203" spans="31:63" ht="24.95" hidden="1" customHeight="1">
      <c r="AE203" s="488" t="str">
        <f t="shared" si="97"/>
        <v/>
      </c>
      <c r="AF203" s="739" t="str">
        <f t="shared" si="84"/>
        <v/>
      </c>
      <c r="AG203" s="739"/>
      <c r="AH203" s="739"/>
      <c r="AI203" s="274" t="str">
        <f>IF(M86&lt;&gt;"",MID(M86,4,100),"")</f>
        <v/>
      </c>
      <c r="AJ203" s="275"/>
      <c r="AK203" s="489" t="str">
        <f t="shared" si="86"/>
        <v/>
      </c>
      <c r="AL203" s="489" t="str">
        <f t="shared" si="87"/>
        <v/>
      </c>
      <c r="AM203" s="740" t="str">
        <f t="shared" si="99"/>
        <v/>
      </c>
      <c r="AN203" s="741" t="str">
        <f t="shared" si="74"/>
        <v/>
      </c>
      <c r="AO203" s="742" t="str">
        <f t="shared" si="89"/>
        <v/>
      </c>
      <c r="AP203" s="743" t="str">
        <f t="shared" si="90"/>
        <v/>
      </c>
      <c r="AQ203" s="742" t="str">
        <f t="shared" si="75"/>
        <v/>
      </c>
      <c r="AR203" s="743" t="str">
        <f t="shared" si="76"/>
        <v/>
      </c>
      <c r="AS203" s="728" t="str">
        <f t="shared" si="91"/>
        <v/>
      </c>
      <c r="AW203" s="732" t="str">
        <f t="shared" si="92"/>
        <v/>
      </c>
      <c r="AX203" s="487" t="str">
        <f t="shared" si="93"/>
        <v/>
      </c>
      <c r="AY203" s="487"/>
      <c r="AZ203" s="487"/>
      <c r="BA203" s="720" t="str">
        <f t="shared" si="94"/>
        <v/>
      </c>
      <c r="BB203" s="700"/>
      <c r="BC203" s="732" t="str">
        <f t="shared" si="77"/>
        <v/>
      </c>
      <c r="BD203" s="732" t="str">
        <f t="shared" si="78"/>
        <v/>
      </c>
      <c r="BE203" s="723" t="str">
        <f t="shared" si="95"/>
        <v/>
      </c>
      <c r="BF203" s="734" t="str">
        <f t="shared" si="79"/>
        <v/>
      </c>
      <c r="BG203" s="736" t="str">
        <f t="shared" si="80"/>
        <v/>
      </c>
      <c r="BH203" s="737" t="str">
        <f t="shared" si="81"/>
        <v/>
      </c>
      <c r="BI203" s="737" t="str">
        <f t="shared" si="82"/>
        <v/>
      </c>
      <c r="BJ203" s="738" t="str">
        <f t="shared" si="83"/>
        <v/>
      </c>
      <c r="BK203" s="730" t="str">
        <f t="shared" si="96"/>
        <v/>
      </c>
    </row>
    <row r="204" spans="31:63" ht="24.95" hidden="1" customHeight="1">
      <c r="AE204" s="488" t="str">
        <f t="shared" si="97"/>
        <v/>
      </c>
      <c r="AF204" s="739" t="str">
        <f t="shared" si="84"/>
        <v/>
      </c>
      <c r="AG204" s="739"/>
      <c r="AH204" s="739"/>
      <c r="AI204" s="274" t="str">
        <f>IF(M87&lt;&gt;"",MID(M87,4,100),"")</f>
        <v/>
      </c>
      <c r="AJ204" s="275"/>
      <c r="AK204" s="489" t="str">
        <f t="shared" si="86"/>
        <v/>
      </c>
      <c r="AL204" s="489" t="str">
        <f t="shared" si="87"/>
        <v/>
      </c>
      <c r="AM204" s="740" t="str">
        <f t="shared" si="99"/>
        <v/>
      </c>
      <c r="AN204" s="741" t="str">
        <f t="shared" si="74"/>
        <v/>
      </c>
      <c r="AO204" s="742" t="str">
        <f t="shared" si="89"/>
        <v/>
      </c>
      <c r="AP204" s="743" t="str">
        <f t="shared" si="90"/>
        <v/>
      </c>
      <c r="AQ204" s="742" t="str">
        <f t="shared" si="75"/>
        <v/>
      </c>
      <c r="AR204" s="743" t="str">
        <f t="shared" si="76"/>
        <v/>
      </c>
      <c r="AS204" s="728" t="str">
        <f t="shared" si="91"/>
        <v/>
      </c>
      <c r="AW204" s="732" t="str">
        <f t="shared" si="92"/>
        <v/>
      </c>
      <c r="AX204" s="487" t="str">
        <f t="shared" si="93"/>
        <v/>
      </c>
      <c r="AY204" s="487"/>
      <c r="AZ204" s="487"/>
      <c r="BA204" s="720" t="str">
        <f t="shared" si="94"/>
        <v/>
      </c>
      <c r="BB204" s="700"/>
      <c r="BC204" s="732" t="str">
        <f t="shared" si="77"/>
        <v/>
      </c>
      <c r="BD204" s="732" t="str">
        <f t="shared" si="78"/>
        <v/>
      </c>
      <c r="BE204" s="723" t="str">
        <f t="shared" si="95"/>
        <v/>
      </c>
      <c r="BF204" s="734" t="str">
        <f t="shared" si="79"/>
        <v/>
      </c>
      <c r="BG204" s="736" t="str">
        <f t="shared" si="80"/>
        <v/>
      </c>
      <c r="BH204" s="737" t="str">
        <f t="shared" si="81"/>
        <v/>
      </c>
      <c r="BI204" s="737" t="str">
        <f t="shared" si="82"/>
        <v/>
      </c>
      <c r="BJ204" s="738" t="str">
        <f t="shared" si="83"/>
        <v/>
      </c>
      <c r="BK204" s="730" t="str">
        <f t="shared" si="96"/>
        <v/>
      </c>
    </row>
    <row r="205" spans="31:63" ht="24.95" customHeight="1">
      <c r="AE205" s="127"/>
      <c r="AQ205" s="744" t="s">
        <v>1719</v>
      </c>
      <c r="AR205" s="745" t="str">
        <f>quote_currency_symbol</f>
        <v>$</v>
      </c>
      <c r="AS205" s="746">
        <f>SUM(AS125:AS204)</f>
        <v>380</v>
      </c>
      <c r="AW205" s="127"/>
      <c r="BI205" s="744" t="s">
        <v>1719</v>
      </c>
      <c r="BJ205" s="744" t="str">
        <f>quote_currency_symbol</f>
        <v>$</v>
      </c>
      <c r="BK205" s="747">
        <f>SUM(BK125:BK204)</f>
        <v>380</v>
      </c>
    </row>
    <row r="206" spans="31:63" ht="24.95" customHeight="1">
      <c r="AE206" s="748" t="s">
        <v>1721</v>
      </c>
      <c r="AQ206" s="749" t="s">
        <v>853</v>
      </c>
      <c r="AR206" s="745" t="str">
        <f>quote_currency_symbol</f>
        <v>$</v>
      </c>
      <c r="AS206" s="750">
        <f>V89</f>
        <v>0</v>
      </c>
      <c r="AW206" s="748" t="s">
        <v>1721</v>
      </c>
      <c r="BI206" s="749" t="s">
        <v>853</v>
      </c>
      <c r="BJ206" s="744" t="str">
        <f>quote_currency_symbol</f>
        <v>$</v>
      </c>
      <c r="BK206" s="751">
        <f>V89</f>
        <v>0</v>
      </c>
    </row>
    <row r="207" spans="31:63" ht="24.95" customHeight="1">
      <c r="AQ207" s="749" t="s">
        <v>854</v>
      </c>
      <c r="AR207" s="745" t="str">
        <f>quote_currency_symbol</f>
        <v>$</v>
      </c>
      <c r="AS207" s="750">
        <f>V90</f>
        <v>38</v>
      </c>
      <c r="BI207" s="749" t="s">
        <v>854</v>
      </c>
      <c r="BJ207" s="744" t="str">
        <f>quote_currency_symbol</f>
        <v>$</v>
      </c>
      <c r="BK207" s="751">
        <f>V90</f>
        <v>38</v>
      </c>
    </row>
    <row r="208" spans="31:63" ht="24.95" customHeight="1">
      <c r="AQ208" s="749" t="s">
        <v>1720</v>
      </c>
      <c r="AR208" s="745" t="str">
        <f>quote_currency_symbol</f>
        <v>$</v>
      </c>
      <c r="AS208" s="750">
        <f>AS205-AS206-AS207</f>
        <v>342</v>
      </c>
      <c r="BI208" s="749" t="s">
        <v>1720</v>
      </c>
      <c r="BJ208" s="744" t="str">
        <f>quote_currency_symbol</f>
        <v>$</v>
      </c>
      <c r="BK208" s="751">
        <f>BK205-BK206-BK207</f>
        <v>342</v>
      </c>
    </row>
  </sheetData>
  <mergeCells count="45">
    <mergeCell ref="AW120:AX120"/>
    <mergeCell ref="AW121:AX121"/>
    <mergeCell ref="AX123:AZ123"/>
    <mergeCell ref="C11:D11"/>
    <mergeCell ref="BK117:BK119"/>
    <mergeCell ref="AM116:AQ118"/>
    <mergeCell ref="AW115:BA116"/>
    <mergeCell ref="BE117:BI118"/>
    <mergeCell ref="AW119:AX119"/>
    <mergeCell ref="AE120:AF120"/>
    <mergeCell ref="AE121:AF121"/>
    <mergeCell ref="AI123:AJ123"/>
    <mergeCell ref="AS116:AS118"/>
    <mergeCell ref="C15:E16"/>
    <mergeCell ref="AN123:AO123"/>
    <mergeCell ref="C22:E23"/>
    <mergeCell ref="C18:C19"/>
    <mergeCell ref="J4:L4"/>
    <mergeCell ref="O4:P4"/>
    <mergeCell ref="AE119:AF119"/>
    <mergeCell ref="K7:L7"/>
    <mergeCell ref="K6:L6"/>
    <mergeCell ref="Q6:R6"/>
    <mergeCell ref="S6:T6"/>
    <mergeCell ref="U6:V6"/>
    <mergeCell ref="S7:T7"/>
    <mergeCell ref="Q7:R7"/>
    <mergeCell ref="U7:V7"/>
    <mergeCell ref="AF124:AH124"/>
    <mergeCell ref="AI124:AJ124"/>
    <mergeCell ref="AF123:AH123"/>
    <mergeCell ref="BA124:BB124"/>
    <mergeCell ref="BA123:BB123"/>
    <mergeCell ref="AX124:AZ124"/>
    <mergeCell ref="AN124:AO124"/>
    <mergeCell ref="AP123:AQ123"/>
    <mergeCell ref="AP124:AQ124"/>
    <mergeCell ref="AR123:AS123"/>
    <mergeCell ref="AR124:AS124"/>
    <mergeCell ref="BF124:BG124"/>
    <mergeCell ref="BH123:BI123"/>
    <mergeCell ref="BJ123:BK123"/>
    <mergeCell ref="BH124:BI124"/>
    <mergeCell ref="BJ124:BK124"/>
    <mergeCell ref="BF123:BG123"/>
  </mergeCells>
  <dataValidations count="11">
    <dataValidation type="whole" operator="greaterThanOrEqual" allowBlank="1" showInputMessage="1" showErrorMessage="1" sqref="N8:O87 T8:T87" xr:uid="{1AFF79C1-C3A3-44BF-9854-B4A434D71C94}">
      <formula1>0</formula1>
    </dataValidation>
    <dataValidation type="list" allowBlank="1" showInputMessage="1" showErrorMessage="1" sqref="R90" xr:uid="{EA2B3CEF-BE7B-4A46-8EE2-6E6393455920}">
      <formula1>vat_option</formula1>
    </dataValidation>
    <dataValidation type="list" allowBlank="1" showInputMessage="1" showErrorMessage="1" sqref="M8:M87" xr:uid="{2A2CD7D4-D804-4E94-AA89-1B396CCBEBA6}">
      <formula1>product_name_option</formula1>
    </dataValidation>
    <dataValidation type="list" allowBlank="1" showInputMessage="1" showErrorMessage="1" sqref="E13" xr:uid="{B2D42262-C318-40AA-BB1B-29C62699367B}">
      <formula1>eow_1</formula1>
    </dataValidation>
    <dataValidation type="list" allowBlank="1" showInputMessage="1" showErrorMessage="1" sqref="E18" xr:uid="{5B7AD966-DC01-4CDB-9024-0D677DF3CCB6}">
      <formula1>saller_option</formula1>
    </dataValidation>
    <dataValidation type="list" allowBlank="1" showInputMessage="1" showErrorMessage="1" sqref="C11" xr:uid="{D71E269B-FD14-4245-BD80-70FCBEF4541A}">
      <formula1>customer_name_option</formula1>
    </dataValidation>
    <dataValidation type="list" allowBlank="1" showInputMessage="1" showErrorMessage="1" sqref="C13" xr:uid="{B197E296-E37F-49E0-BCB9-88A81097001B}">
      <formula1>branch_option</formula1>
    </dataValidation>
    <dataValidation type="list" allowBlank="1" showInputMessage="1" showErrorMessage="1" sqref="O4" xr:uid="{3FF039B5-A1C9-4AC0-BA6A-C2B95FDAA7DB}">
      <formula1>price_type_option</formula1>
    </dataValidation>
    <dataValidation type="list" allowBlank="1" showInputMessage="1" showErrorMessage="1" sqref="P89" xr:uid="{EC3E540B-1C46-4A43-AE5E-DF4A605D2C13}">
      <formula1>discount_option</formula1>
    </dataValidation>
    <dataValidation type="list" allowBlank="1" showInputMessage="1" showErrorMessage="1" sqref="C15" xr:uid="{01224FC4-76AB-4E13-BA4B-71B7D3A68A67}">
      <formula1>ship_to_option</formula1>
    </dataValidation>
    <dataValidation type="list" allowBlank="1" showInputMessage="1" showErrorMessage="1" sqref="M89" xr:uid="{414CA578-564C-4BE0-8E15-0B9B24DB5F79}">
      <formula1>discount_type_option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5505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228600</xdr:colOff>
                    <xdr:row>1</xdr:row>
                    <xdr:rowOff>304800</xdr:rowOff>
                  </from>
                  <to>
                    <xdr:col>2</xdr:col>
                    <xdr:colOff>990600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06" r:id="rId5" name="Button 2">
              <controlPr defaultSize="0" autoFill="0" autoPict="0" macro="[0]!todayPickerDate">
                <anchor moveWithCells="1" sizeWithCells="1">
                  <from>
                    <xdr:col>2</xdr:col>
                    <xdr:colOff>1724025</xdr:colOff>
                    <xdr:row>8</xdr:row>
                    <xdr:rowOff>9525</xdr:rowOff>
                  </from>
                  <to>
                    <xdr:col>2</xdr:col>
                    <xdr:colOff>2095500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13" r:id="rId6" name="Button 9">
              <controlPr defaultSize="0" autoFill="0" autoPict="0" macro="[0]!addCustomer">
                <anchor moveWithCells="1" sizeWithCells="1">
                  <from>
                    <xdr:col>12</xdr:col>
                    <xdr:colOff>152400</xdr:colOff>
                    <xdr:row>2</xdr:row>
                    <xdr:rowOff>104775</xdr:rowOff>
                  </from>
                  <to>
                    <xdr:col>12</xdr:col>
                    <xdr:colOff>504825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14" r:id="rId7" name="Button 10">
              <controlPr defaultSize="0" autoFill="0" autoPict="0" macro="[0]!AddQuotation">
                <anchor moveWithCells="1">
                  <from>
                    <xdr:col>17</xdr:col>
                    <xdr:colOff>742950</xdr:colOff>
                    <xdr:row>3</xdr:row>
                    <xdr:rowOff>9525</xdr:rowOff>
                  </from>
                  <to>
                    <xdr:col>20</xdr:col>
                    <xdr:colOff>28575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15" r:id="rId8" name="Button 11">
              <controlPr defaultSize="0" autoFill="0" autoPict="0" macro="[0]!AddQuotation">
                <anchor moveWithCells="1">
                  <from>
                    <xdr:col>20</xdr:col>
                    <xdr:colOff>104775</xdr:colOff>
                    <xdr:row>2</xdr:row>
                    <xdr:rowOff>104775</xdr:rowOff>
                  </from>
                  <to>
                    <xdr:col>21</xdr:col>
                    <xdr:colOff>1371600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23" r:id="rId9" name="Button 19">
              <controlPr defaultSize="0" autoFill="0" autoPict="0" macro="[0]!printQuoteLetterHead">
                <anchor moveWithCells="1" sizeWithCells="1">
                  <from>
                    <xdr:col>15</xdr:col>
                    <xdr:colOff>304800</xdr:colOff>
                    <xdr:row>1</xdr:row>
                    <xdr:rowOff>9525</xdr:rowOff>
                  </from>
                  <to>
                    <xdr:col>17</xdr:col>
                    <xdr:colOff>866775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24" r:id="rId10" name="Button 20">
              <controlPr defaultSize="0" autoFill="0" autoPict="0" macro="[0]!printQuoteNoLetterHead">
                <anchor moveWithCells="1" sizeWithCells="1">
                  <from>
                    <xdr:col>19</xdr:col>
                    <xdr:colOff>533400</xdr:colOff>
                    <xdr:row>1</xdr:row>
                    <xdr:rowOff>19050</xdr:rowOff>
                  </from>
                  <to>
                    <xdr:col>21</xdr:col>
                    <xdr:colOff>914400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34" r:id="rId11" name="Button 30">
              <controlPr defaultSize="0" print="0" autoFill="0" autoPict="0" macro="[0]!btnAddCustomer">
                <anchor moveWithCells="1" sizeWithCells="1">
                  <from>
                    <xdr:col>5</xdr:col>
                    <xdr:colOff>66675</xdr:colOff>
                    <xdr:row>9</xdr:row>
                    <xdr:rowOff>342900</xdr:rowOff>
                  </from>
                  <to>
                    <xdr:col>5</xdr:col>
                    <xdr:colOff>381000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35" r:id="rId12" name="Button 31">
              <controlPr defaultSize="0" print="0" autoFill="0" autoPict="0" macro="[0]!quotation.addSeller">
                <anchor moveWithCells="1" sizeWithCells="1">
                  <from>
                    <xdr:col>5</xdr:col>
                    <xdr:colOff>57150</xdr:colOff>
                    <xdr:row>17</xdr:row>
                    <xdr:rowOff>9525</xdr:rowOff>
                  </from>
                  <to>
                    <xdr:col>5</xdr:col>
                    <xdr:colOff>381000</xdr:colOff>
                    <xdr:row>17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36" r:id="rId13" name="Button 32">
              <controlPr defaultSize="0" print="0" autoFill="0" autoPict="0" macro="[0]!addShipTo">
                <anchor moveWithCells="1" sizeWithCells="1">
                  <from>
                    <xdr:col>5</xdr:col>
                    <xdr:colOff>85725</xdr:colOff>
                    <xdr:row>14</xdr:row>
                    <xdr:rowOff>19050</xdr:rowOff>
                  </from>
                  <to>
                    <xdr:col>5</xdr:col>
                    <xdr:colOff>419100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38" r:id="rId14" name="Button 34">
              <controlPr defaultSize="0" print="0" autoFill="0" autoPict="0" macro="[0]!goQuotationData">
                <anchor moveWithCells="1" sizeWithCells="1">
                  <from>
                    <xdr:col>22</xdr:col>
                    <xdr:colOff>247650</xdr:colOff>
                    <xdr:row>1</xdr:row>
                    <xdr:rowOff>28575</xdr:rowOff>
                  </from>
                  <to>
                    <xdr:col>23</xdr:col>
                    <xdr:colOff>1143000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39" r:id="rId15" name="Button 35">
              <controlPr defaultSize="0" print="0" autoFill="0" autoPict="0" macro="[0]!goQuoteDetailData">
                <anchor moveWithCells="1" sizeWithCells="1">
                  <from>
                    <xdr:col>22</xdr:col>
                    <xdr:colOff>238125</xdr:colOff>
                    <xdr:row>1</xdr:row>
                    <xdr:rowOff>457200</xdr:rowOff>
                  </from>
                  <to>
                    <xdr:col>23</xdr:col>
                    <xdr:colOff>1143000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45" r:id="rId16" name="Button 41">
              <controlPr defaultSize="0" autoFill="0" autoPict="0">
                <anchor moveWithCells="1" sizeWithCells="1">
                  <from>
                    <xdr:col>21</xdr:col>
                    <xdr:colOff>981075</xdr:colOff>
                    <xdr:row>1</xdr:row>
                    <xdr:rowOff>9525</xdr:rowOff>
                  </from>
                  <to>
                    <xdr:col>21</xdr:col>
                    <xdr:colOff>1362075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46" r:id="rId17" name="Button 42">
              <controlPr defaultSize="0" autoFill="0" autoPict="0">
                <anchor moveWithCells="1" sizeWithCells="1">
                  <from>
                    <xdr:col>18</xdr:col>
                    <xdr:colOff>47625</xdr:colOff>
                    <xdr:row>1</xdr:row>
                    <xdr:rowOff>0</xdr:rowOff>
                  </from>
                  <to>
                    <xdr:col>19</xdr:col>
                    <xdr:colOff>276225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18" name="Button 50">
              <controlPr defaultSize="0" print="0" autoFill="0" autoPict="0" macro="[0]!goToCustomerList">
                <anchor moveWithCells="1" sizeWithCells="1">
                  <from>
                    <xdr:col>4</xdr:col>
                    <xdr:colOff>1085850</xdr:colOff>
                    <xdr:row>9</xdr:row>
                    <xdr:rowOff>323850</xdr:rowOff>
                  </from>
                  <to>
                    <xdr:col>4</xdr:col>
                    <xdr:colOff>2047875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H18"/>
  <sheetViews>
    <sheetView showGridLines="0" zoomScale="80" zoomScaleNormal="80" workbookViewId="0">
      <pane ySplit="7" topLeftCell="A8" activePane="bottomLeft" state="frozen"/>
      <selection pane="bottomLeft" activeCell="I8" sqref="I8"/>
    </sheetView>
  </sheetViews>
  <sheetFormatPr defaultRowHeight="23.25"/>
  <cols>
    <col min="1" max="1" width="2" style="133" customWidth="1"/>
    <col min="2" max="2" width="3" style="133" customWidth="1"/>
    <col min="3" max="3" width="5.85546875" style="126" customWidth="1"/>
    <col min="4" max="4" width="14" style="249" customWidth="1"/>
    <col min="5" max="5" width="15.28515625" style="415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434" bestFit="1" customWidth="1"/>
    <col min="10" max="10" width="20.28515625" style="434" customWidth="1"/>
    <col min="11" max="11" width="11.42578125" style="126" customWidth="1"/>
    <col min="12" max="12" width="12.85546875" style="126" customWidth="1"/>
    <col min="13" max="13" width="11.7109375" style="126" customWidth="1"/>
    <col min="14" max="14" width="13.5703125" style="126" customWidth="1"/>
    <col min="15" max="15" width="12" style="126" customWidth="1"/>
    <col min="16" max="17" width="11.5703125" style="126" customWidth="1"/>
    <col min="18" max="18" width="10" style="126" bestFit="1" customWidth="1"/>
    <col min="19" max="19" width="11.5703125" style="126" customWidth="1"/>
    <col min="20" max="20" width="14.42578125" style="126" customWidth="1"/>
    <col min="21" max="21" width="13.140625" style="126" customWidth="1"/>
    <col min="22" max="22" width="13.42578125" style="126" customWidth="1"/>
    <col min="23" max="23" width="50" style="252" bestFit="1" customWidth="1"/>
    <col min="24" max="24" width="16" style="249" customWidth="1"/>
    <col min="25" max="25" width="22.42578125" style="422" customWidth="1"/>
    <col min="26" max="26" width="14.85546875" style="252" customWidth="1"/>
    <col min="27" max="27" width="10.5703125" style="415" customWidth="1"/>
    <col min="28" max="28" width="13.5703125" style="249" customWidth="1"/>
    <col min="29" max="29" width="8.42578125" style="126" customWidth="1"/>
    <col min="30" max="30" width="12.140625" style="126" customWidth="1"/>
    <col min="31" max="31" width="9.28515625" style="126" customWidth="1"/>
    <col min="32" max="32" width="7.7109375" style="126" customWidth="1"/>
    <col min="33" max="33" width="7" style="126" customWidth="1"/>
    <col min="34" max="34" width="6.28515625" style="126" customWidth="1"/>
    <col min="35" max="16384" width="9.140625" style="133"/>
  </cols>
  <sheetData>
    <row r="1" spans="3:34" customFormat="1" ht="7.5" customHeight="1">
      <c r="C1" s="13"/>
      <c r="D1" s="212"/>
      <c r="E1" s="412"/>
      <c r="F1" s="13"/>
      <c r="G1" s="13"/>
      <c r="H1" s="13"/>
      <c r="I1" s="434"/>
      <c r="J1" s="434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252"/>
      <c r="X1" s="212"/>
      <c r="Y1" s="417"/>
      <c r="Z1" s="252"/>
      <c r="AA1" s="412"/>
      <c r="AB1" s="212"/>
      <c r="AC1" s="13"/>
      <c r="AD1" s="13"/>
      <c r="AE1" s="13"/>
      <c r="AF1" s="13"/>
      <c r="AG1" s="13"/>
      <c r="AH1" s="13"/>
    </row>
    <row r="2" spans="3:34" customFormat="1">
      <c r="C2" s="13"/>
      <c r="D2" s="212"/>
      <c r="E2" s="412"/>
      <c r="F2" s="13"/>
      <c r="G2" s="13"/>
      <c r="H2" s="13"/>
      <c r="I2" s="434"/>
      <c r="J2" s="434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252"/>
      <c r="X2" s="212"/>
      <c r="Y2" s="417"/>
      <c r="Z2" s="252"/>
      <c r="AA2" s="412"/>
      <c r="AB2" s="212"/>
      <c r="AC2" s="13"/>
      <c r="AD2" s="13"/>
      <c r="AE2" s="13"/>
      <c r="AF2" s="13"/>
      <c r="AG2" s="13"/>
      <c r="AH2" s="13"/>
    </row>
    <row r="3" spans="3:34" customFormat="1">
      <c r="C3" s="13"/>
      <c r="D3" s="212"/>
      <c r="E3" s="412"/>
      <c r="F3" s="13"/>
      <c r="G3" s="13"/>
      <c r="H3" s="13"/>
      <c r="I3" s="434"/>
      <c r="J3" s="434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252"/>
      <c r="X3" s="212"/>
      <c r="Y3" s="417"/>
      <c r="Z3" s="252"/>
      <c r="AA3" s="412"/>
      <c r="AB3" s="212"/>
      <c r="AC3" s="13"/>
      <c r="AD3" s="13"/>
      <c r="AE3" s="13"/>
      <c r="AF3" s="13"/>
      <c r="AG3" s="13"/>
      <c r="AH3" s="13"/>
    </row>
    <row r="4" spans="3:34" customFormat="1" ht="12" customHeight="1">
      <c r="C4" s="13"/>
      <c r="D4" s="212"/>
      <c r="E4" s="412"/>
      <c r="F4" s="13"/>
      <c r="G4" s="13"/>
      <c r="H4" s="13"/>
      <c r="I4" s="434"/>
      <c r="J4" s="434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252"/>
      <c r="X4" s="212"/>
      <c r="Y4" s="417"/>
      <c r="Z4" s="252"/>
      <c r="AA4" s="412"/>
      <c r="AB4" s="212"/>
      <c r="AC4" s="13"/>
      <c r="AD4" s="13"/>
      <c r="AE4" s="13"/>
      <c r="AF4" s="13"/>
      <c r="AG4" s="13"/>
      <c r="AH4" s="13"/>
    </row>
    <row r="5" spans="3:34" customFormat="1" hidden="1">
      <c r="C5" s="13"/>
      <c r="D5" s="212"/>
      <c r="E5" s="412"/>
      <c r="F5" s="13"/>
      <c r="G5" s="13"/>
      <c r="H5" s="13"/>
      <c r="I5" s="434"/>
      <c r="J5" s="434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252"/>
      <c r="X5" s="212"/>
      <c r="Y5" s="417"/>
      <c r="Z5" s="252"/>
      <c r="AA5" s="412"/>
      <c r="AB5" s="212"/>
      <c r="AC5" s="13"/>
      <c r="AD5" s="13"/>
      <c r="AE5" s="13"/>
      <c r="AF5" s="13"/>
      <c r="AG5" s="13"/>
      <c r="AH5" s="13"/>
    </row>
    <row r="6" spans="3:34" s="13" customFormat="1">
      <c r="C6" s="450" t="s">
        <v>59</v>
      </c>
      <c r="D6" s="481" t="s">
        <v>1740</v>
      </c>
      <c r="E6" s="482" t="s">
        <v>1741</v>
      </c>
      <c r="F6" s="450" t="s">
        <v>878</v>
      </c>
      <c r="G6" s="450" t="s">
        <v>258</v>
      </c>
      <c r="H6" s="450" t="s">
        <v>1738</v>
      </c>
      <c r="I6" s="481" t="s">
        <v>1739</v>
      </c>
      <c r="J6" s="1069" t="s">
        <v>1782</v>
      </c>
      <c r="K6" s="450" t="s">
        <v>4</v>
      </c>
      <c r="L6" s="450" t="s">
        <v>889</v>
      </c>
      <c r="M6" s="450" t="s">
        <v>1743</v>
      </c>
      <c r="N6" s="450" t="s">
        <v>1744</v>
      </c>
      <c r="O6" s="450" t="s">
        <v>1745</v>
      </c>
      <c r="P6" s="450" t="s">
        <v>58</v>
      </c>
      <c r="Q6" s="450" t="s">
        <v>1785</v>
      </c>
      <c r="R6" s="450" t="s">
        <v>263</v>
      </c>
      <c r="S6" s="450" t="s">
        <v>1742</v>
      </c>
      <c r="T6" s="450" t="s">
        <v>1783</v>
      </c>
      <c r="U6" s="450" t="s">
        <v>1746</v>
      </c>
      <c r="V6" s="450" t="s">
        <v>1784</v>
      </c>
      <c r="W6" s="450" t="s">
        <v>1747</v>
      </c>
      <c r="X6" s="481" t="s">
        <v>1748</v>
      </c>
      <c r="Y6" s="483" t="s">
        <v>839</v>
      </c>
      <c r="Z6" s="481" t="s">
        <v>1201</v>
      </c>
      <c r="AA6" s="482" t="s">
        <v>1750</v>
      </c>
      <c r="AB6" s="481" t="s">
        <v>1749</v>
      </c>
      <c r="AC6" s="450" t="s">
        <v>1751</v>
      </c>
      <c r="AD6" s="450" t="s">
        <v>1752</v>
      </c>
      <c r="AE6" s="450" t="s">
        <v>264</v>
      </c>
      <c r="AF6" s="450" t="s">
        <v>98</v>
      </c>
      <c r="AG6" s="450" t="s">
        <v>208</v>
      </c>
      <c r="AH6" s="450" t="s">
        <v>307</v>
      </c>
    </row>
    <row r="7" spans="3:34" s="126" customFormat="1" ht="21">
      <c r="C7" s="296" t="s">
        <v>10</v>
      </c>
      <c r="D7" s="418" t="s">
        <v>1724</v>
      </c>
      <c r="E7" s="423" t="s">
        <v>1725</v>
      </c>
      <c r="F7" s="296" t="s">
        <v>869</v>
      </c>
      <c r="G7" s="296" t="s">
        <v>320</v>
      </c>
      <c r="H7" s="296" t="s">
        <v>341</v>
      </c>
      <c r="I7" s="418" t="s">
        <v>211</v>
      </c>
      <c r="J7" s="1070" t="s">
        <v>1781</v>
      </c>
      <c r="K7" s="296" t="s">
        <v>1726</v>
      </c>
      <c r="L7" s="296" t="s">
        <v>1727</v>
      </c>
      <c r="M7" s="296" t="s">
        <v>1729</v>
      </c>
      <c r="N7" s="296" t="s">
        <v>1730</v>
      </c>
      <c r="O7" s="296" t="s">
        <v>1731</v>
      </c>
      <c r="P7" s="296" t="s">
        <v>1787</v>
      </c>
      <c r="Q7" s="296" t="s">
        <v>1786</v>
      </c>
      <c r="R7" s="296" t="s">
        <v>832</v>
      </c>
      <c r="S7" s="296" t="s">
        <v>1728</v>
      </c>
      <c r="T7" s="296" t="s">
        <v>1779</v>
      </c>
      <c r="U7" s="296" t="s">
        <v>835</v>
      </c>
      <c r="V7" s="296" t="s">
        <v>112</v>
      </c>
      <c r="W7" s="296" t="s">
        <v>1733</v>
      </c>
      <c r="X7" s="418" t="s">
        <v>1737</v>
      </c>
      <c r="Y7" s="484" t="s">
        <v>824</v>
      </c>
      <c r="Z7" s="485" t="s">
        <v>389</v>
      </c>
      <c r="AA7" s="423" t="s">
        <v>827</v>
      </c>
      <c r="AB7" s="418" t="s">
        <v>1734</v>
      </c>
      <c r="AC7" s="296" t="s">
        <v>1735</v>
      </c>
      <c r="AD7" s="296" t="s">
        <v>1736</v>
      </c>
      <c r="AE7" s="296" t="s">
        <v>212</v>
      </c>
      <c r="AF7" s="296" t="s">
        <v>102</v>
      </c>
      <c r="AG7" s="296" t="s">
        <v>12</v>
      </c>
      <c r="AH7" s="296" t="s">
        <v>308</v>
      </c>
    </row>
    <row r="8" spans="3:34">
      <c r="C8" s="126">
        <v>1</v>
      </c>
      <c r="D8" s="249" t="s">
        <v>1790</v>
      </c>
      <c r="E8" s="415">
        <v>45778</v>
      </c>
      <c r="F8" s="126" t="s">
        <v>62</v>
      </c>
      <c r="G8" s="126" t="s">
        <v>16</v>
      </c>
      <c r="H8" s="126">
        <v>8</v>
      </c>
      <c r="I8" s="434" t="s">
        <v>1776</v>
      </c>
      <c r="J8" s="434" t="s">
        <v>205</v>
      </c>
      <c r="K8" s="126">
        <v>2</v>
      </c>
      <c r="L8" s="126">
        <v>1</v>
      </c>
      <c r="M8" s="126">
        <v>10</v>
      </c>
      <c r="N8" s="126">
        <v>4</v>
      </c>
      <c r="O8" s="126">
        <v>2</v>
      </c>
      <c r="P8" s="126">
        <v>10000</v>
      </c>
      <c r="Q8" s="126">
        <v>0</v>
      </c>
      <c r="R8" s="126">
        <v>7683000</v>
      </c>
      <c r="S8" s="126">
        <v>717000</v>
      </c>
      <c r="T8" s="126">
        <v>513000</v>
      </c>
      <c r="U8" s="126">
        <v>0</v>
      </c>
      <c r="V8" s="126">
        <v>6453000</v>
      </c>
      <c r="W8" s="252" t="s">
        <v>1792</v>
      </c>
      <c r="X8" s="249" t="s">
        <v>1791</v>
      </c>
      <c r="Y8" s="422">
        <v>45793.54483796296</v>
      </c>
      <c r="Z8" s="252" t="s">
        <v>415</v>
      </c>
      <c r="AB8" s="249" t="s">
        <v>246</v>
      </c>
      <c r="AC8" s="126">
        <v>0</v>
      </c>
      <c r="AD8" s="126">
        <v>0</v>
      </c>
      <c r="AE8" s="126">
        <v>0</v>
      </c>
      <c r="AF8" s="126">
        <v>1</v>
      </c>
      <c r="AG8" s="126">
        <v>5</v>
      </c>
      <c r="AH8" s="126">
        <v>2025</v>
      </c>
    </row>
    <row r="9" spans="3:34">
      <c r="C9" s="126">
        <v>2</v>
      </c>
      <c r="D9" s="249" t="s">
        <v>1793</v>
      </c>
      <c r="E9" s="415">
        <v>45779</v>
      </c>
      <c r="F9" s="126" t="s">
        <v>62</v>
      </c>
      <c r="G9" s="126" t="s">
        <v>16</v>
      </c>
      <c r="H9" s="126">
        <v>8</v>
      </c>
      <c r="I9" s="434" t="s">
        <v>1776</v>
      </c>
      <c r="J9" s="434" t="s">
        <v>206</v>
      </c>
      <c r="K9" s="126">
        <v>2</v>
      </c>
      <c r="L9" s="126">
        <v>1</v>
      </c>
      <c r="M9" s="126">
        <v>10</v>
      </c>
      <c r="N9" s="126">
        <v>4</v>
      </c>
      <c r="O9" s="126">
        <v>2</v>
      </c>
      <c r="P9" s="126">
        <v>10000</v>
      </c>
      <c r="Q9" s="126">
        <v>0</v>
      </c>
      <c r="R9" s="126">
        <v>470000</v>
      </c>
      <c r="S9" s="126">
        <v>44900</v>
      </c>
      <c r="T9" s="126">
        <v>21000</v>
      </c>
      <c r="U9" s="126">
        <v>0</v>
      </c>
      <c r="V9" s="126">
        <v>404100</v>
      </c>
      <c r="W9" s="252" t="s">
        <v>1792</v>
      </c>
      <c r="X9" s="249" t="s">
        <v>1791</v>
      </c>
      <c r="Y9" s="422">
        <v>45793.670578703706</v>
      </c>
      <c r="Z9" s="252" t="s">
        <v>416</v>
      </c>
      <c r="AB9" s="249" t="s">
        <v>246</v>
      </c>
      <c r="AC9" s="126">
        <v>0</v>
      </c>
      <c r="AD9" s="126">
        <v>1</v>
      </c>
      <c r="AE9" s="126">
        <v>1</v>
      </c>
      <c r="AF9" s="126">
        <v>1</v>
      </c>
      <c r="AG9" s="126">
        <v>5</v>
      </c>
      <c r="AH9" s="126">
        <v>2025</v>
      </c>
    </row>
    <row r="10" spans="3:34">
      <c r="C10" s="126">
        <v>3</v>
      </c>
      <c r="D10" s="249" t="s">
        <v>1794</v>
      </c>
      <c r="E10" s="415">
        <v>45779</v>
      </c>
      <c r="F10" s="126" t="s">
        <v>62</v>
      </c>
      <c r="G10" s="126" t="s">
        <v>16</v>
      </c>
      <c r="H10" s="126">
        <v>19</v>
      </c>
      <c r="I10" s="434" t="s">
        <v>1819</v>
      </c>
      <c r="J10" s="434" t="s">
        <v>206</v>
      </c>
      <c r="K10" s="126">
        <v>2</v>
      </c>
      <c r="L10" s="126">
        <v>1</v>
      </c>
      <c r="M10" s="126">
        <v>10</v>
      </c>
      <c r="N10" s="126">
        <v>4</v>
      </c>
      <c r="O10" s="126">
        <v>2</v>
      </c>
      <c r="P10" s="126">
        <v>10000</v>
      </c>
      <c r="Q10" s="126">
        <v>0</v>
      </c>
      <c r="R10" s="126">
        <v>378000</v>
      </c>
      <c r="S10" s="126">
        <v>32600</v>
      </c>
      <c r="T10" s="126">
        <v>52000</v>
      </c>
      <c r="U10" s="126">
        <v>0</v>
      </c>
      <c r="V10" s="126">
        <v>293400</v>
      </c>
      <c r="W10" s="252" t="s">
        <v>1792</v>
      </c>
      <c r="X10" s="249" t="s">
        <v>1791</v>
      </c>
      <c r="Y10" s="422">
        <v>45793.677881944444</v>
      </c>
      <c r="Z10" s="252" t="s">
        <v>416</v>
      </c>
      <c r="AB10" s="249" t="s">
        <v>246</v>
      </c>
      <c r="AC10" s="126">
        <v>0</v>
      </c>
      <c r="AD10" s="126">
        <v>1</v>
      </c>
      <c r="AE10" s="126">
        <v>1</v>
      </c>
      <c r="AF10" s="126">
        <v>1</v>
      </c>
      <c r="AG10" s="126">
        <v>5</v>
      </c>
      <c r="AH10" s="126">
        <v>2025</v>
      </c>
    </row>
    <row r="11" spans="3:34">
      <c r="C11" s="126">
        <v>4</v>
      </c>
      <c r="D11" s="249" t="s">
        <v>1820</v>
      </c>
      <c r="E11" s="415">
        <v>45796</v>
      </c>
      <c r="F11" s="126" t="s">
        <v>62</v>
      </c>
      <c r="G11" s="126" t="s">
        <v>16</v>
      </c>
      <c r="H11" s="126">
        <v>1</v>
      </c>
      <c r="I11" s="434" t="s">
        <v>1777</v>
      </c>
      <c r="J11" s="434" t="s">
        <v>206</v>
      </c>
      <c r="K11" s="126">
        <v>2</v>
      </c>
      <c r="L11" s="126">
        <v>1</v>
      </c>
      <c r="M11" s="126">
        <v>0</v>
      </c>
      <c r="N11" s="126">
        <v>4</v>
      </c>
      <c r="O11" s="126">
        <v>2</v>
      </c>
      <c r="P11" s="126">
        <v>0</v>
      </c>
      <c r="Q11" s="126">
        <v>10</v>
      </c>
      <c r="R11" s="126">
        <v>325000</v>
      </c>
      <c r="S11" s="126">
        <v>0</v>
      </c>
      <c r="T11" s="126">
        <v>32500</v>
      </c>
      <c r="U11" s="126">
        <v>0</v>
      </c>
      <c r="V11" s="126">
        <v>292500</v>
      </c>
      <c r="W11" s="252" t="s">
        <v>1792</v>
      </c>
      <c r="X11" s="249" t="s">
        <v>1791</v>
      </c>
      <c r="Y11" s="422">
        <v>45796.972627314812</v>
      </c>
      <c r="Z11" s="252" t="s">
        <v>416</v>
      </c>
      <c r="AB11" s="249" t="s">
        <v>246</v>
      </c>
      <c r="AC11" s="126">
        <v>0</v>
      </c>
      <c r="AD11" s="126">
        <v>1</v>
      </c>
      <c r="AE11" s="126">
        <v>1</v>
      </c>
      <c r="AF11" s="126">
        <v>3</v>
      </c>
      <c r="AG11" s="126">
        <v>5</v>
      </c>
      <c r="AH11" s="126">
        <v>2025</v>
      </c>
    </row>
    <row r="12" spans="3:34">
      <c r="C12" s="126">
        <v>5</v>
      </c>
      <c r="D12" s="249" t="s">
        <v>1822</v>
      </c>
      <c r="E12" s="415">
        <v>45796</v>
      </c>
      <c r="F12" s="126" t="s">
        <v>62</v>
      </c>
      <c r="G12" s="126" t="s">
        <v>16</v>
      </c>
      <c r="H12" s="126">
        <v>1</v>
      </c>
      <c r="I12" s="434" t="s">
        <v>1777</v>
      </c>
      <c r="J12" s="434" t="s">
        <v>206</v>
      </c>
      <c r="K12" s="126">
        <v>2</v>
      </c>
      <c r="L12" s="126">
        <v>1</v>
      </c>
      <c r="M12" s="126">
        <v>10</v>
      </c>
      <c r="N12" s="126">
        <v>4</v>
      </c>
      <c r="O12" s="126">
        <v>2</v>
      </c>
      <c r="P12" s="126">
        <v>0</v>
      </c>
      <c r="Q12" s="126">
        <v>10</v>
      </c>
      <c r="R12" s="126">
        <v>328000</v>
      </c>
      <c r="S12" s="126">
        <v>29520</v>
      </c>
      <c r="T12" s="126">
        <v>32800</v>
      </c>
      <c r="U12" s="126">
        <v>0</v>
      </c>
      <c r="V12" s="126">
        <v>265680</v>
      </c>
      <c r="W12" s="252" t="s">
        <v>1821</v>
      </c>
      <c r="X12" s="249" t="s">
        <v>1791</v>
      </c>
      <c r="Y12" s="422">
        <v>45796.980833333335</v>
      </c>
      <c r="Z12" s="252" t="s">
        <v>416</v>
      </c>
      <c r="AB12" s="249" t="s">
        <v>246</v>
      </c>
      <c r="AC12" s="126">
        <v>0</v>
      </c>
      <c r="AD12" s="126">
        <v>1</v>
      </c>
      <c r="AE12" s="126">
        <v>1</v>
      </c>
      <c r="AF12" s="126">
        <v>3</v>
      </c>
      <c r="AG12" s="126">
        <v>5</v>
      </c>
      <c r="AH12" s="126">
        <v>2025</v>
      </c>
    </row>
    <row r="13" spans="3:34">
      <c r="C13" s="126">
        <v>6</v>
      </c>
      <c r="D13" s="249" t="s">
        <v>1824</v>
      </c>
      <c r="E13" s="415">
        <v>45796</v>
      </c>
      <c r="F13" s="126" t="s">
        <v>62</v>
      </c>
      <c r="G13" s="126" t="s">
        <v>16</v>
      </c>
      <c r="H13" s="126">
        <v>1</v>
      </c>
      <c r="I13" s="434" t="s">
        <v>1777</v>
      </c>
      <c r="J13" s="434" t="s">
        <v>207</v>
      </c>
      <c r="K13" s="126">
        <v>2</v>
      </c>
      <c r="L13" s="126">
        <v>1</v>
      </c>
      <c r="M13" s="126">
        <v>10</v>
      </c>
      <c r="N13" s="126">
        <v>4</v>
      </c>
      <c r="O13" s="126">
        <v>2</v>
      </c>
      <c r="P13" s="126">
        <v>0</v>
      </c>
      <c r="Q13" s="126">
        <v>10</v>
      </c>
      <c r="R13" s="126">
        <v>460000</v>
      </c>
      <c r="S13" s="126">
        <v>37200</v>
      </c>
      <c r="T13" s="126">
        <v>88000</v>
      </c>
      <c r="U13" s="126">
        <v>0</v>
      </c>
      <c r="V13" s="126">
        <v>334800</v>
      </c>
      <c r="W13" s="252" t="s">
        <v>1821</v>
      </c>
      <c r="X13" s="249" t="s">
        <v>1823</v>
      </c>
      <c r="Y13" s="422">
        <v>45796.984085648146</v>
      </c>
      <c r="Z13" s="252" t="s">
        <v>416</v>
      </c>
      <c r="AB13" s="249" t="s">
        <v>246</v>
      </c>
      <c r="AC13" s="126">
        <v>0</v>
      </c>
      <c r="AD13" s="126">
        <v>1</v>
      </c>
      <c r="AE13" s="126">
        <v>1</v>
      </c>
      <c r="AF13" s="126">
        <v>3</v>
      </c>
      <c r="AG13" s="126">
        <v>5</v>
      </c>
      <c r="AH13" s="126">
        <v>2025</v>
      </c>
    </row>
    <row r="14" spans="3:34">
      <c r="C14" s="126">
        <v>7</v>
      </c>
      <c r="D14" s="249" t="s">
        <v>1848</v>
      </c>
      <c r="E14" s="415">
        <v>45797</v>
      </c>
      <c r="F14" s="126" t="s">
        <v>62</v>
      </c>
      <c r="G14" s="126" t="s">
        <v>16</v>
      </c>
      <c r="H14" s="126">
        <v>5</v>
      </c>
      <c r="I14" s="434" t="s">
        <v>1849</v>
      </c>
      <c r="J14" s="434" t="s">
        <v>205</v>
      </c>
      <c r="K14" s="126">
        <v>2</v>
      </c>
      <c r="L14" s="126">
        <v>1</v>
      </c>
      <c r="M14" s="126">
        <v>0</v>
      </c>
      <c r="N14" s="126">
        <v>4</v>
      </c>
      <c r="O14" s="126">
        <v>2</v>
      </c>
      <c r="P14" s="126">
        <v>0</v>
      </c>
      <c r="Q14" s="126">
        <v>100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252" t="s">
        <v>1839</v>
      </c>
      <c r="X14" s="249" t="s">
        <v>1791</v>
      </c>
      <c r="Y14" s="422">
        <v>45799.532858796294</v>
      </c>
      <c r="Z14" s="252" t="s">
        <v>416</v>
      </c>
      <c r="AB14" s="249" t="s">
        <v>246</v>
      </c>
      <c r="AC14" s="126">
        <v>0</v>
      </c>
      <c r="AD14" s="126">
        <v>1</v>
      </c>
      <c r="AE14" s="126">
        <v>1</v>
      </c>
      <c r="AF14" s="126">
        <v>3</v>
      </c>
      <c r="AG14" s="126">
        <v>5</v>
      </c>
      <c r="AH14" s="126">
        <v>2025</v>
      </c>
    </row>
    <row r="15" spans="3:34">
      <c r="C15" s="126">
        <v>8</v>
      </c>
      <c r="D15" s="249" t="s">
        <v>1848</v>
      </c>
      <c r="E15" s="415">
        <v>45799</v>
      </c>
      <c r="F15" s="126" t="s">
        <v>62</v>
      </c>
      <c r="G15" s="126" t="s">
        <v>16</v>
      </c>
      <c r="H15" s="126" t="s">
        <v>149</v>
      </c>
      <c r="I15" s="434" t="s">
        <v>1849</v>
      </c>
      <c r="J15" s="434" t="s">
        <v>205</v>
      </c>
      <c r="K15" s="126">
        <v>2</v>
      </c>
      <c r="L15" s="126">
        <v>1</v>
      </c>
      <c r="M15" s="126">
        <v>0</v>
      </c>
      <c r="N15" s="126">
        <v>4</v>
      </c>
      <c r="O15" s="126">
        <v>2</v>
      </c>
      <c r="P15" s="126">
        <v>0</v>
      </c>
      <c r="Q15" s="126">
        <v>100</v>
      </c>
      <c r="R15" s="126">
        <v>34000</v>
      </c>
      <c r="S15" s="126">
        <v>0</v>
      </c>
      <c r="T15" s="126">
        <v>34000</v>
      </c>
      <c r="U15" s="126">
        <v>0</v>
      </c>
      <c r="V15" s="126">
        <v>0</v>
      </c>
      <c r="W15" s="252" t="s">
        <v>1839</v>
      </c>
      <c r="X15" s="249" t="s">
        <v>1791</v>
      </c>
      <c r="Y15" s="422">
        <v>45799.550879629627</v>
      </c>
      <c r="Z15" s="252" t="s">
        <v>416</v>
      </c>
      <c r="AB15" s="249" t="s">
        <v>246</v>
      </c>
      <c r="AC15" s="126">
        <v>0</v>
      </c>
      <c r="AD15" s="126">
        <v>1</v>
      </c>
      <c r="AE15" s="126">
        <v>1</v>
      </c>
      <c r="AF15" s="126">
        <v>4</v>
      </c>
      <c r="AG15" s="126">
        <v>5</v>
      </c>
      <c r="AH15" s="126">
        <v>2025</v>
      </c>
    </row>
    <row r="16" spans="3:34">
      <c r="C16" s="126">
        <v>9</v>
      </c>
      <c r="D16" s="249" t="s">
        <v>1850</v>
      </c>
      <c r="E16" s="415">
        <v>45799</v>
      </c>
      <c r="F16" s="126" t="s">
        <v>62</v>
      </c>
      <c r="G16" s="126" t="s">
        <v>16</v>
      </c>
      <c r="H16" s="126" t="s">
        <v>148</v>
      </c>
      <c r="I16" s="434" t="s">
        <v>1777</v>
      </c>
      <c r="J16" s="434" t="s">
        <v>205</v>
      </c>
      <c r="K16" s="126">
        <v>2</v>
      </c>
      <c r="L16" s="126">
        <v>1</v>
      </c>
      <c r="M16" s="126">
        <v>0</v>
      </c>
      <c r="N16" s="126">
        <v>4</v>
      </c>
      <c r="O16" s="126">
        <v>2</v>
      </c>
      <c r="P16" s="126">
        <v>0</v>
      </c>
      <c r="Q16" s="126">
        <v>100</v>
      </c>
      <c r="R16" s="126">
        <v>44000</v>
      </c>
      <c r="S16" s="126">
        <v>0</v>
      </c>
      <c r="T16" s="126">
        <v>44000</v>
      </c>
      <c r="U16" s="126">
        <v>0</v>
      </c>
      <c r="V16" s="126">
        <v>0</v>
      </c>
      <c r="W16" s="252" t="s">
        <v>876</v>
      </c>
      <c r="X16" s="249" t="s">
        <v>1851</v>
      </c>
      <c r="Y16" s="422">
        <v>45799.557696759257</v>
      </c>
      <c r="Z16" s="252" t="s">
        <v>416</v>
      </c>
      <c r="AB16" s="249" t="s">
        <v>246</v>
      </c>
      <c r="AC16" s="126">
        <v>0</v>
      </c>
      <c r="AD16" s="126">
        <v>0</v>
      </c>
      <c r="AE16" s="126">
        <v>1</v>
      </c>
      <c r="AF16" s="126">
        <v>4</v>
      </c>
      <c r="AG16" s="126">
        <v>5</v>
      </c>
      <c r="AH16" s="126">
        <v>2025</v>
      </c>
    </row>
    <row r="17" spans="3:34">
      <c r="C17" s="126">
        <v>10</v>
      </c>
      <c r="D17" s="249" t="s">
        <v>1857</v>
      </c>
      <c r="E17" s="415">
        <v>45799</v>
      </c>
      <c r="F17" s="126" t="s">
        <v>62</v>
      </c>
      <c r="G17" s="126" t="s">
        <v>16</v>
      </c>
      <c r="H17" s="126" t="s">
        <v>148</v>
      </c>
      <c r="I17" s="434" t="s">
        <v>1777</v>
      </c>
      <c r="J17" s="434" t="s">
        <v>205</v>
      </c>
      <c r="K17" s="126">
        <v>2</v>
      </c>
      <c r="L17" s="126">
        <v>1</v>
      </c>
      <c r="M17" s="126">
        <v>0</v>
      </c>
      <c r="N17" s="126">
        <v>4</v>
      </c>
      <c r="O17" s="126">
        <v>2</v>
      </c>
      <c r="P17" s="126">
        <v>0</v>
      </c>
      <c r="Q17" s="126">
        <v>100</v>
      </c>
      <c r="R17" s="126">
        <v>0</v>
      </c>
      <c r="S17" s="126">
        <v>0</v>
      </c>
      <c r="T17" s="126">
        <v>0</v>
      </c>
      <c r="U17" s="126">
        <v>0</v>
      </c>
      <c r="V17" s="126">
        <v>0</v>
      </c>
      <c r="W17" s="252" t="s">
        <v>1856</v>
      </c>
      <c r="X17" s="249" t="s">
        <v>1854</v>
      </c>
      <c r="Y17" s="422">
        <v>45799.572650462964</v>
      </c>
      <c r="Z17" s="252" t="s">
        <v>416</v>
      </c>
      <c r="AB17" s="249" t="s">
        <v>246</v>
      </c>
      <c r="AC17" s="126">
        <v>0</v>
      </c>
      <c r="AD17" s="126">
        <v>1</v>
      </c>
      <c r="AE17" s="126">
        <v>0</v>
      </c>
      <c r="AF17" s="126">
        <v>4</v>
      </c>
      <c r="AG17" s="126">
        <v>5</v>
      </c>
      <c r="AH17" s="126">
        <v>2025</v>
      </c>
    </row>
    <row r="18" spans="3:34">
      <c r="C18" s="126">
        <v>11</v>
      </c>
      <c r="D18" s="249" t="s">
        <v>1858</v>
      </c>
      <c r="E18" s="415">
        <v>45799</v>
      </c>
      <c r="F18" s="126" t="s">
        <v>62</v>
      </c>
      <c r="G18" s="126" t="s">
        <v>16</v>
      </c>
      <c r="H18" s="126" t="s">
        <v>148</v>
      </c>
      <c r="I18" s="434" t="s">
        <v>1777</v>
      </c>
      <c r="J18" s="434" t="s">
        <v>205</v>
      </c>
      <c r="K18" s="126">
        <v>2</v>
      </c>
      <c r="L18" s="126">
        <v>1</v>
      </c>
      <c r="M18" s="126">
        <v>0</v>
      </c>
      <c r="N18" s="126">
        <v>4</v>
      </c>
      <c r="O18" s="126">
        <v>2</v>
      </c>
      <c r="P18" s="126">
        <v>0</v>
      </c>
      <c r="Q18" s="126">
        <v>10</v>
      </c>
      <c r="R18" s="126">
        <v>99000</v>
      </c>
      <c r="S18" s="126">
        <v>0</v>
      </c>
      <c r="T18" s="126">
        <v>9900</v>
      </c>
      <c r="U18" s="126">
        <v>0</v>
      </c>
      <c r="V18" s="126">
        <v>89100</v>
      </c>
      <c r="W18" s="252" t="s">
        <v>1855</v>
      </c>
      <c r="X18" s="249" t="s">
        <v>1852</v>
      </c>
      <c r="Y18" s="422">
        <v>45799.615925925929</v>
      </c>
      <c r="Z18" s="252" t="s">
        <v>416</v>
      </c>
      <c r="AB18" s="249" t="s">
        <v>246</v>
      </c>
      <c r="AC18" s="126">
        <v>0</v>
      </c>
      <c r="AD18" s="126">
        <v>0</v>
      </c>
      <c r="AE18" s="126">
        <v>1</v>
      </c>
      <c r="AF18" s="126">
        <v>4</v>
      </c>
      <c r="AG18" s="126">
        <v>5</v>
      </c>
      <c r="AH18" s="126">
        <v>2025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4177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1</xdr:row>
                    <xdr:rowOff>190500</xdr:rowOff>
                  </from>
                  <to>
                    <xdr:col>4</xdr:col>
                    <xdr:colOff>57150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182" r:id="rId4" name="Button 6">
              <controlPr defaultSize="0" print="0" autoFill="0" autoPict="0" macro="[0]!goAddQuotation">
                <anchor moveWithCells="1" sizeWithCells="1">
                  <from>
                    <xdr:col>4</xdr:col>
                    <xdr:colOff>361950</xdr:colOff>
                    <xdr:row>1</xdr:row>
                    <xdr:rowOff>180975</xdr:rowOff>
                  </from>
                  <to>
                    <xdr:col>5</xdr:col>
                    <xdr:colOff>790575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A1:Z42"/>
  <sheetViews>
    <sheetView showGridLines="0" topLeftCell="B1" zoomScale="90" zoomScaleNormal="90" workbookViewId="0">
      <pane ySplit="7" topLeftCell="A26" activePane="bottomLeft" state="frozen"/>
      <selection pane="bottomLeft" activeCell="M33" sqref="M33"/>
    </sheetView>
  </sheetViews>
  <sheetFormatPr defaultRowHeight="23.25"/>
  <cols>
    <col min="1" max="1" width="2.5703125" style="126" hidden="1" customWidth="1"/>
    <col min="2" max="2" width="1" style="126" customWidth="1"/>
    <col min="3" max="3" width="4.5703125" style="126" bestFit="1" customWidth="1"/>
    <col min="4" max="4" width="9.42578125" style="126" bestFit="1" customWidth="1"/>
    <col min="5" max="5" width="12.7109375" style="249" bestFit="1" customWidth="1"/>
    <col min="6" max="6" width="13" style="126" bestFit="1" customWidth="1"/>
    <col min="7" max="7" width="13" style="249" bestFit="1" customWidth="1"/>
    <col min="8" max="9" width="17.7109375" style="249" bestFit="1" customWidth="1"/>
    <col min="10" max="10" width="24.140625" style="434" bestFit="1" customWidth="1"/>
    <col min="11" max="11" width="5.5703125" style="126" bestFit="1" customWidth="1"/>
    <col min="12" max="12" width="9.140625" style="126" bestFit="1" customWidth="1"/>
    <col min="13" max="13" width="10" style="252" bestFit="1" customWidth="1"/>
    <col min="14" max="14" width="12" style="249" bestFit="1" customWidth="1"/>
    <col min="15" max="15" width="12.140625" style="126" bestFit="1" customWidth="1"/>
    <col min="16" max="16" width="13.42578125" style="249" hidden="1" customWidth="1"/>
    <col min="17" max="17" width="18.42578125" style="126" bestFit="1" customWidth="1"/>
    <col min="18" max="18" width="17.85546875" style="126" hidden="1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26" s="13" customFormat="1">
      <c r="E1" s="212"/>
      <c r="G1" s="212"/>
      <c r="H1" s="212"/>
      <c r="I1" s="212"/>
      <c r="J1" s="434"/>
      <c r="M1" s="252"/>
      <c r="N1" s="212"/>
      <c r="P1" s="212"/>
    </row>
    <row r="2" spans="3:26" s="13" customFormat="1">
      <c r="E2" s="212"/>
      <c r="G2" s="212"/>
      <c r="H2" s="212"/>
      <c r="I2" s="212"/>
      <c r="J2" s="434"/>
      <c r="M2" s="252"/>
      <c r="N2" s="212"/>
      <c r="P2" s="212"/>
    </row>
    <row r="3" spans="3:26" s="13" customFormat="1">
      <c r="E3" s="212"/>
      <c r="G3" s="212"/>
      <c r="H3" s="212"/>
      <c r="I3" s="212"/>
      <c r="J3" s="434"/>
      <c r="M3" s="252"/>
      <c r="N3" s="212"/>
      <c r="P3" s="212"/>
    </row>
    <row r="4" spans="3:26" s="13" customFormat="1">
      <c r="E4" s="212"/>
      <c r="G4" s="212"/>
      <c r="H4" s="212"/>
      <c r="I4" s="212"/>
      <c r="J4" s="434"/>
      <c r="M4" s="252"/>
      <c r="N4" s="212"/>
      <c r="P4" s="212"/>
    </row>
    <row r="5" spans="3:26" s="13" customFormat="1" ht="8.25" customHeight="1">
      <c r="E5" s="212"/>
      <c r="G5" s="212"/>
      <c r="H5" s="212"/>
      <c r="I5" s="212"/>
      <c r="J5" s="434"/>
      <c r="M5" s="252"/>
      <c r="N5" s="212"/>
      <c r="P5" s="212"/>
    </row>
    <row r="6" spans="3:26" s="13" customFormat="1">
      <c r="C6" s="450" t="s">
        <v>59</v>
      </c>
      <c r="D6" s="450" t="s">
        <v>1740</v>
      </c>
      <c r="E6" s="481" t="s">
        <v>1767</v>
      </c>
      <c r="F6" s="450" t="s">
        <v>1741</v>
      </c>
      <c r="G6" s="481" t="s">
        <v>244</v>
      </c>
      <c r="H6" s="481" t="s">
        <v>354</v>
      </c>
      <c r="I6" s="481" t="s">
        <v>1757</v>
      </c>
      <c r="J6" s="481" t="s">
        <v>1758</v>
      </c>
      <c r="K6" s="481" t="s">
        <v>91</v>
      </c>
      <c r="L6" s="481" t="s">
        <v>91</v>
      </c>
      <c r="M6" s="481" t="s">
        <v>1759</v>
      </c>
      <c r="N6" s="481" t="s">
        <v>1760</v>
      </c>
      <c r="O6" s="450" t="s">
        <v>1761</v>
      </c>
      <c r="P6" s="481" t="s">
        <v>1762</v>
      </c>
      <c r="Q6" s="450" t="s">
        <v>1764</v>
      </c>
      <c r="R6" s="450" t="s">
        <v>1763</v>
      </c>
      <c r="S6" s="450" t="s">
        <v>76</v>
      </c>
      <c r="T6" s="450" t="s">
        <v>373</v>
      </c>
      <c r="U6" s="450" t="s">
        <v>1789</v>
      </c>
      <c r="V6" s="450" t="s">
        <v>1765</v>
      </c>
      <c r="W6" s="450" t="s">
        <v>264</v>
      </c>
      <c r="X6" s="450" t="s">
        <v>98</v>
      </c>
      <c r="Y6" s="450" t="s">
        <v>208</v>
      </c>
      <c r="Z6" s="450" t="s">
        <v>307</v>
      </c>
    </row>
    <row r="7" spans="3:26" s="13" customFormat="1" ht="15">
      <c r="C7" s="410" t="s">
        <v>328</v>
      </c>
      <c r="D7" s="410" t="s">
        <v>1753</v>
      </c>
      <c r="E7" s="411" t="s">
        <v>1766</v>
      </c>
      <c r="F7" s="410" t="s">
        <v>1725</v>
      </c>
      <c r="G7" s="411" t="s">
        <v>341</v>
      </c>
      <c r="H7" s="411" t="s">
        <v>343</v>
      </c>
      <c r="I7" s="411" t="s">
        <v>837</v>
      </c>
      <c r="J7" s="411" t="s">
        <v>92</v>
      </c>
      <c r="K7" s="411" t="s">
        <v>93</v>
      </c>
      <c r="L7" s="411" t="s">
        <v>402</v>
      </c>
      <c r="M7" s="411" t="s">
        <v>15</v>
      </c>
      <c r="N7" s="411" t="s">
        <v>1754</v>
      </c>
      <c r="O7" s="410" t="s">
        <v>403</v>
      </c>
      <c r="P7" s="411" t="s">
        <v>1755</v>
      </c>
      <c r="Q7" s="410" t="s">
        <v>1756</v>
      </c>
      <c r="R7" s="410" t="s">
        <v>1732</v>
      </c>
      <c r="S7" s="410" t="s">
        <v>94</v>
      </c>
      <c r="T7" s="410" t="s">
        <v>38</v>
      </c>
      <c r="U7" s="410" t="s">
        <v>1788</v>
      </c>
      <c r="V7" s="410" t="s">
        <v>407</v>
      </c>
      <c r="W7" s="410" t="s">
        <v>212</v>
      </c>
      <c r="X7" s="410" t="s">
        <v>102</v>
      </c>
      <c r="Y7" s="410" t="s">
        <v>12</v>
      </c>
      <c r="Z7" s="410" t="s">
        <v>308</v>
      </c>
    </row>
    <row r="8" spans="3:26">
      <c r="C8" s="126">
        <v>1</v>
      </c>
      <c r="D8" s="126">
        <v>1</v>
      </c>
      <c r="E8" s="249" t="s">
        <v>1790</v>
      </c>
      <c r="F8" s="415">
        <v>45778</v>
      </c>
      <c r="G8" s="249" t="s">
        <v>150</v>
      </c>
      <c r="H8" s="249" t="s">
        <v>16</v>
      </c>
      <c r="I8" s="249" t="s">
        <v>81</v>
      </c>
      <c r="J8" s="434" t="s">
        <v>283</v>
      </c>
      <c r="K8" s="126">
        <v>5</v>
      </c>
      <c r="L8" s="126">
        <v>1</v>
      </c>
      <c r="M8" s="252" t="s">
        <v>44</v>
      </c>
      <c r="N8" s="249" t="s">
        <v>22</v>
      </c>
      <c r="O8" s="126">
        <v>1</v>
      </c>
      <c r="P8" s="249" t="s">
        <v>246</v>
      </c>
      <c r="Q8" s="126">
        <v>1000</v>
      </c>
      <c r="S8" s="126">
        <v>5733</v>
      </c>
      <c r="T8" s="126">
        <v>11000</v>
      </c>
      <c r="U8" s="126">
        <v>11000</v>
      </c>
      <c r="V8" s="126">
        <v>65000</v>
      </c>
      <c r="W8" s="126">
        <v>1</v>
      </c>
      <c r="X8" s="126">
        <v>1</v>
      </c>
      <c r="Y8" s="126">
        <v>5</v>
      </c>
      <c r="Z8" s="126">
        <v>2025</v>
      </c>
    </row>
    <row r="9" spans="3:26">
      <c r="C9" s="126">
        <v>2</v>
      </c>
      <c r="D9" s="126">
        <v>1</v>
      </c>
      <c r="E9" s="249" t="s">
        <v>1790</v>
      </c>
      <c r="F9" s="415">
        <v>45778</v>
      </c>
      <c r="G9" s="249" t="s">
        <v>150</v>
      </c>
      <c r="H9" s="249" t="s">
        <v>25</v>
      </c>
      <c r="I9" s="249" t="s">
        <v>83</v>
      </c>
      <c r="J9" s="434" t="s">
        <v>280</v>
      </c>
      <c r="K9" s="126">
        <v>10</v>
      </c>
      <c r="L9" s="126">
        <v>1</v>
      </c>
      <c r="M9" s="252" t="s">
        <v>46</v>
      </c>
      <c r="N9" s="249" t="s">
        <v>27</v>
      </c>
      <c r="O9" s="126">
        <v>1</v>
      </c>
      <c r="P9" s="249" t="s">
        <v>246</v>
      </c>
      <c r="Q9" s="126">
        <v>1000</v>
      </c>
      <c r="S9" s="126">
        <v>21150</v>
      </c>
      <c r="T9" s="126">
        <v>42000</v>
      </c>
      <c r="U9" s="126">
        <v>42000</v>
      </c>
      <c r="V9" s="126">
        <v>461000</v>
      </c>
      <c r="W9" s="126">
        <v>1</v>
      </c>
      <c r="X9" s="126">
        <v>1</v>
      </c>
      <c r="Y9" s="126">
        <v>5</v>
      </c>
      <c r="Z9" s="126">
        <v>2025</v>
      </c>
    </row>
    <row r="10" spans="3:26">
      <c r="C10" s="126">
        <v>3</v>
      </c>
      <c r="D10" s="126">
        <v>1</v>
      </c>
      <c r="E10" s="249" t="s">
        <v>1790</v>
      </c>
      <c r="F10" s="415">
        <v>45778</v>
      </c>
      <c r="G10" s="249" t="s">
        <v>150</v>
      </c>
      <c r="H10" s="249" t="s">
        <v>22</v>
      </c>
      <c r="I10" s="249" t="s">
        <v>275</v>
      </c>
      <c r="J10" s="434" t="s">
        <v>286</v>
      </c>
      <c r="K10" s="126">
        <v>9</v>
      </c>
      <c r="L10" s="126">
        <v>1</v>
      </c>
      <c r="M10" s="252" t="s">
        <v>46</v>
      </c>
      <c r="N10" s="249" t="s">
        <v>27</v>
      </c>
      <c r="O10" s="126">
        <v>1</v>
      </c>
      <c r="P10" s="249" t="s">
        <v>246</v>
      </c>
      <c r="Q10" s="126">
        <v>1000</v>
      </c>
      <c r="S10" s="126">
        <v>9350</v>
      </c>
      <c r="T10" s="126">
        <v>35000</v>
      </c>
      <c r="U10" s="126">
        <v>35000</v>
      </c>
      <c r="V10" s="126">
        <v>349000</v>
      </c>
      <c r="W10" s="126">
        <v>1</v>
      </c>
      <c r="X10" s="126">
        <v>1</v>
      </c>
      <c r="Y10" s="126">
        <v>5</v>
      </c>
      <c r="Z10" s="126">
        <v>2025</v>
      </c>
    </row>
    <row r="11" spans="3:26">
      <c r="C11" s="126">
        <v>4</v>
      </c>
      <c r="D11" s="126">
        <v>1</v>
      </c>
      <c r="E11" s="249" t="s">
        <v>1790</v>
      </c>
      <c r="F11" s="415">
        <v>45778</v>
      </c>
      <c r="G11" s="249" t="s">
        <v>150</v>
      </c>
      <c r="H11" s="249" t="s">
        <v>22</v>
      </c>
      <c r="I11" s="249" t="s">
        <v>275</v>
      </c>
      <c r="J11" s="434" t="s">
        <v>286</v>
      </c>
      <c r="K11" s="126">
        <v>10</v>
      </c>
      <c r="L11" s="126">
        <v>1</v>
      </c>
      <c r="M11" s="252" t="s">
        <v>46</v>
      </c>
      <c r="N11" s="249" t="s">
        <v>27</v>
      </c>
      <c r="O11" s="126">
        <v>1</v>
      </c>
      <c r="P11" s="249" t="s">
        <v>246</v>
      </c>
      <c r="Q11" s="126">
        <v>1000</v>
      </c>
      <c r="S11" s="126">
        <v>9350</v>
      </c>
      <c r="T11" s="126">
        <v>35000</v>
      </c>
      <c r="U11" s="126">
        <v>35000</v>
      </c>
      <c r="V11" s="126">
        <v>384000</v>
      </c>
      <c r="W11" s="126">
        <v>1</v>
      </c>
      <c r="X11" s="126">
        <v>1</v>
      </c>
      <c r="Y11" s="126">
        <v>5</v>
      </c>
      <c r="Z11" s="126">
        <v>2025</v>
      </c>
    </row>
    <row r="12" spans="3:26">
      <c r="C12" s="126">
        <v>5</v>
      </c>
      <c r="D12" s="126">
        <v>1</v>
      </c>
      <c r="E12" s="249" t="s">
        <v>1790</v>
      </c>
      <c r="F12" s="415">
        <v>45778</v>
      </c>
      <c r="G12" s="249" t="s">
        <v>150</v>
      </c>
      <c r="H12" s="249" t="s">
        <v>22</v>
      </c>
      <c r="I12" s="249" t="s">
        <v>275</v>
      </c>
      <c r="J12" s="434" t="s">
        <v>286</v>
      </c>
      <c r="K12" s="126">
        <v>11</v>
      </c>
      <c r="L12" s="126">
        <v>1</v>
      </c>
      <c r="M12" s="252" t="s">
        <v>46</v>
      </c>
      <c r="N12" s="249" t="s">
        <v>27</v>
      </c>
      <c r="O12" s="126">
        <v>1</v>
      </c>
      <c r="P12" s="249" t="s">
        <v>246</v>
      </c>
      <c r="Q12" s="126">
        <v>1000</v>
      </c>
      <c r="S12" s="126">
        <v>9350</v>
      </c>
      <c r="T12" s="126">
        <v>35000</v>
      </c>
      <c r="U12" s="126">
        <v>35000</v>
      </c>
      <c r="V12" s="126">
        <v>419000</v>
      </c>
      <c r="W12" s="126">
        <v>1</v>
      </c>
      <c r="X12" s="126">
        <v>1</v>
      </c>
      <c r="Y12" s="126">
        <v>5</v>
      </c>
      <c r="Z12" s="126">
        <v>2025</v>
      </c>
    </row>
    <row r="13" spans="3:26">
      <c r="C13" s="126">
        <v>6</v>
      </c>
      <c r="D13" s="126">
        <v>1</v>
      </c>
      <c r="E13" s="249" t="s">
        <v>1790</v>
      </c>
      <c r="F13" s="415">
        <v>45778</v>
      </c>
      <c r="G13" s="249" t="s">
        <v>150</v>
      </c>
      <c r="H13" s="249" t="s">
        <v>22</v>
      </c>
      <c r="I13" s="249" t="s">
        <v>275</v>
      </c>
      <c r="J13" s="434" t="s">
        <v>286</v>
      </c>
      <c r="K13" s="126">
        <v>12</v>
      </c>
      <c r="L13" s="126">
        <v>1</v>
      </c>
      <c r="M13" s="252" t="s">
        <v>46</v>
      </c>
      <c r="N13" s="249" t="s">
        <v>27</v>
      </c>
      <c r="O13" s="126">
        <v>1</v>
      </c>
      <c r="P13" s="249" t="s">
        <v>246</v>
      </c>
      <c r="Q13" s="126">
        <v>1000</v>
      </c>
      <c r="S13" s="126">
        <v>9350</v>
      </c>
      <c r="T13" s="126">
        <v>35000</v>
      </c>
      <c r="U13" s="126">
        <v>35000</v>
      </c>
      <c r="V13" s="126">
        <v>454000</v>
      </c>
      <c r="W13" s="126">
        <v>1</v>
      </c>
      <c r="X13" s="126">
        <v>1</v>
      </c>
      <c r="Y13" s="126">
        <v>5</v>
      </c>
      <c r="Z13" s="126">
        <v>2025</v>
      </c>
    </row>
    <row r="14" spans="3:26">
      <c r="C14" s="126">
        <v>7</v>
      </c>
      <c r="D14" s="126">
        <v>1</v>
      </c>
      <c r="E14" s="249" t="s">
        <v>1790</v>
      </c>
      <c r="F14" s="415">
        <v>45778</v>
      </c>
      <c r="G14" s="249" t="s">
        <v>150</v>
      </c>
      <c r="H14" s="249" t="s">
        <v>22</v>
      </c>
      <c r="I14" s="249" t="s">
        <v>275</v>
      </c>
      <c r="J14" s="434" t="s">
        <v>286</v>
      </c>
      <c r="K14" s="126">
        <v>13</v>
      </c>
      <c r="L14" s="126">
        <v>1</v>
      </c>
      <c r="M14" s="252" t="s">
        <v>46</v>
      </c>
      <c r="N14" s="249" t="s">
        <v>27</v>
      </c>
      <c r="O14" s="126">
        <v>1</v>
      </c>
      <c r="P14" s="249" t="s">
        <v>246</v>
      </c>
      <c r="Q14" s="126">
        <v>1000</v>
      </c>
      <c r="S14" s="126">
        <v>9350</v>
      </c>
      <c r="T14" s="126">
        <v>35000</v>
      </c>
      <c r="U14" s="126">
        <v>35000</v>
      </c>
      <c r="V14" s="126">
        <v>489000</v>
      </c>
      <c r="W14" s="126">
        <v>1</v>
      </c>
      <c r="X14" s="126">
        <v>1</v>
      </c>
      <c r="Y14" s="126">
        <v>5</v>
      </c>
      <c r="Z14" s="126">
        <v>2025</v>
      </c>
    </row>
    <row r="15" spans="3:26">
      <c r="C15" s="126">
        <v>8</v>
      </c>
      <c r="D15" s="126">
        <v>1</v>
      </c>
      <c r="E15" s="249" t="s">
        <v>1790</v>
      </c>
      <c r="F15" s="415">
        <v>45778</v>
      </c>
      <c r="G15" s="249" t="s">
        <v>150</v>
      </c>
      <c r="H15" s="249" t="s">
        <v>22</v>
      </c>
      <c r="I15" s="249" t="s">
        <v>275</v>
      </c>
      <c r="J15" s="434" t="s">
        <v>286</v>
      </c>
      <c r="K15" s="126">
        <v>14</v>
      </c>
      <c r="L15" s="126">
        <v>1</v>
      </c>
      <c r="M15" s="252" t="s">
        <v>46</v>
      </c>
      <c r="N15" s="249" t="s">
        <v>27</v>
      </c>
      <c r="O15" s="126">
        <v>1</v>
      </c>
      <c r="P15" s="249" t="s">
        <v>246</v>
      </c>
      <c r="Q15" s="126">
        <v>1000</v>
      </c>
      <c r="S15" s="126">
        <v>9350</v>
      </c>
      <c r="T15" s="126">
        <v>35000</v>
      </c>
      <c r="U15" s="126">
        <v>35000</v>
      </c>
      <c r="V15" s="126">
        <v>524000</v>
      </c>
      <c r="W15" s="126">
        <v>1</v>
      </c>
      <c r="X15" s="126">
        <v>1</v>
      </c>
      <c r="Y15" s="126">
        <v>5</v>
      </c>
      <c r="Z15" s="126">
        <v>2025</v>
      </c>
    </row>
    <row r="16" spans="3:26">
      <c r="C16" s="126">
        <v>9</v>
      </c>
      <c r="D16" s="126">
        <v>1</v>
      </c>
      <c r="E16" s="249" t="s">
        <v>1790</v>
      </c>
      <c r="F16" s="415">
        <v>45778</v>
      </c>
      <c r="G16" s="249" t="s">
        <v>150</v>
      </c>
      <c r="H16" s="249" t="s">
        <v>22</v>
      </c>
      <c r="I16" s="249" t="s">
        <v>275</v>
      </c>
      <c r="J16" s="434" t="s">
        <v>286</v>
      </c>
      <c r="K16" s="126">
        <v>15</v>
      </c>
      <c r="L16" s="126">
        <v>1</v>
      </c>
      <c r="M16" s="252" t="s">
        <v>46</v>
      </c>
      <c r="N16" s="249" t="s">
        <v>27</v>
      </c>
      <c r="O16" s="126">
        <v>1</v>
      </c>
      <c r="P16" s="249" t="s">
        <v>246</v>
      </c>
      <c r="Q16" s="126">
        <v>1000</v>
      </c>
      <c r="S16" s="126">
        <v>9350</v>
      </c>
      <c r="T16" s="126">
        <v>35000</v>
      </c>
      <c r="U16" s="126">
        <v>35000</v>
      </c>
      <c r="V16" s="126">
        <v>559000</v>
      </c>
      <c r="W16" s="126">
        <v>1</v>
      </c>
      <c r="X16" s="126">
        <v>1</v>
      </c>
      <c r="Y16" s="126">
        <v>5</v>
      </c>
      <c r="Z16" s="126">
        <v>2025</v>
      </c>
    </row>
    <row r="17" spans="3:26">
      <c r="C17" s="126">
        <v>10</v>
      </c>
      <c r="D17" s="126">
        <v>1</v>
      </c>
      <c r="E17" s="249" t="s">
        <v>1790</v>
      </c>
      <c r="F17" s="415">
        <v>45778</v>
      </c>
      <c r="G17" s="249" t="s">
        <v>150</v>
      </c>
      <c r="H17" s="249" t="s">
        <v>22</v>
      </c>
      <c r="I17" s="249" t="s">
        <v>275</v>
      </c>
      <c r="J17" s="434" t="s">
        <v>286</v>
      </c>
      <c r="K17" s="126">
        <v>16</v>
      </c>
      <c r="L17" s="126">
        <v>1</v>
      </c>
      <c r="M17" s="252" t="s">
        <v>46</v>
      </c>
      <c r="N17" s="249" t="s">
        <v>27</v>
      </c>
      <c r="O17" s="126">
        <v>1</v>
      </c>
      <c r="P17" s="249" t="s">
        <v>246</v>
      </c>
      <c r="Q17" s="126">
        <v>1000</v>
      </c>
      <c r="S17" s="126">
        <v>9350</v>
      </c>
      <c r="T17" s="126">
        <v>35000</v>
      </c>
      <c r="U17" s="126">
        <v>35000</v>
      </c>
      <c r="V17" s="126">
        <v>594000</v>
      </c>
      <c r="W17" s="126">
        <v>1</v>
      </c>
      <c r="X17" s="126">
        <v>1</v>
      </c>
      <c r="Y17" s="126">
        <v>5</v>
      </c>
      <c r="Z17" s="126">
        <v>2025</v>
      </c>
    </row>
    <row r="18" spans="3:26">
      <c r="C18" s="126">
        <v>11</v>
      </c>
      <c r="D18" s="126">
        <v>1</v>
      </c>
      <c r="E18" s="249" t="s">
        <v>1790</v>
      </c>
      <c r="F18" s="415">
        <v>45778</v>
      </c>
      <c r="G18" s="249" t="s">
        <v>150</v>
      </c>
      <c r="H18" s="249" t="s">
        <v>22</v>
      </c>
      <c r="I18" s="249" t="s">
        <v>275</v>
      </c>
      <c r="J18" s="434" t="s">
        <v>286</v>
      </c>
      <c r="K18" s="126">
        <v>17</v>
      </c>
      <c r="L18" s="126">
        <v>1</v>
      </c>
      <c r="M18" s="252" t="s">
        <v>46</v>
      </c>
      <c r="N18" s="249" t="s">
        <v>27</v>
      </c>
      <c r="O18" s="126">
        <v>1</v>
      </c>
      <c r="P18" s="249" t="s">
        <v>246</v>
      </c>
      <c r="Q18" s="126">
        <v>1000</v>
      </c>
      <c r="S18" s="126">
        <v>9350</v>
      </c>
      <c r="T18" s="126">
        <v>35000</v>
      </c>
      <c r="U18" s="126">
        <v>35000</v>
      </c>
      <c r="V18" s="126">
        <v>629000</v>
      </c>
      <c r="W18" s="126">
        <v>1</v>
      </c>
      <c r="X18" s="126">
        <v>1</v>
      </c>
      <c r="Y18" s="126">
        <v>5</v>
      </c>
      <c r="Z18" s="126">
        <v>2025</v>
      </c>
    </row>
    <row r="19" spans="3:26">
      <c r="C19" s="126">
        <v>12</v>
      </c>
      <c r="D19" s="126">
        <v>1</v>
      </c>
      <c r="E19" s="249" t="s">
        <v>1790</v>
      </c>
      <c r="F19" s="415">
        <v>45778</v>
      </c>
      <c r="G19" s="249" t="s">
        <v>150</v>
      </c>
      <c r="H19" s="249" t="s">
        <v>22</v>
      </c>
      <c r="I19" s="249" t="s">
        <v>275</v>
      </c>
      <c r="J19" s="434" t="s">
        <v>286</v>
      </c>
      <c r="K19" s="126">
        <v>18</v>
      </c>
      <c r="L19" s="126">
        <v>1</v>
      </c>
      <c r="M19" s="252" t="s">
        <v>46</v>
      </c>
      <c r="N19" s="249" t="s">
        <v>27</v>
      </c>
      <c r="O19" s="126">
        <v>1</v>
      </c>
      <c r="P19" s="249" t="s">
        <v>246</v>
      </c>
      <c r="Q19" s="126">
        <v>1000</v>
      </c>
      <c r="S19" s="126">
        <v>9350</v>
      </c>
      <c r="T19" s="126">
        <v>35000</v>
      </c>
      <c r="U19" s="126">
        <v>35000</v>
      </c>
      <c r="V19" s="126">
        <v>664000</v>
      </c>
      <c r="W19" s="126">
        <v>1</v>
      </c>
      <c r="X19" s="126">
        <v>1</v>
      </c>
      <c r="Y19" s="126">
        <v>5</v>
      </c>
      <c r="Z19" s="126">
        <v>2025</v>
      </c>
    </row>
    <row r="20" spans="3:26">
      <c r="C20" s="126">
        <v>13</v>
      </c>
      <c r="D20" s="126">
        <v>1</v>
      </c>
      <c r="E20" s="249" t="s">
        <v>1790</v>
      </c>
      <c r="F20" s="415">
        <v>45778</v>
      </c>
      <c r="G20" s="249" t="s">
        <v>150</v>
      </c>
      <c r="H20" s="249" t="s">
        <v>22</v>
      </c>
      <c r="I20" s="249" t="s">
        <v>275</v>
      </c>
      <c r="J20" s="434" t="s">
        <v>286</v>
      </c>
      <c r="K20" s="126">
        <v>19</v>
      </c>
      <c r="L20" s="126">
        <v>1</v>
      </c>
      <c r="M20" s="252" t="s">
        <v>46</v>
      </c>
      <c r="N20" s="249" t="s">
        <v>27</v>
      </c>
      <c r="O20" s="126">
        <v>1</v>
      </c>
      <c r="P20" s="249" t="s">
        <v>246</v>
      </c>
      <c r="Q20" s="126">
        <v>1000</v>
      </c>
      <c r="S20" s="126">
        <v>9350</v>
      </c>
      <c r="T20" s="126">
        <v>35000</v>
      </c>
      <c r="U20" s="126">
        <v>35000</v>
      </c>
      <c r="V20" s="126">
        <v>699000</v>
      </c>
      <c r="W20" s="126">
        <v>1</v>
      </c>
      <c r="X20" s="126">
        <v>1</v>
      </c>
      <c r="Y20" s="126">
        <v>5</v>
      </c>
      <c r="Z20" s="126">
        <v>2025</v>
      </c>
    </row>
    <row r="21" spans="3:26">
      <c r="C21" s="126">
        <v>14</v>
      </c>
      <c r="D21" s="126">
        <v>1</v>
      </c>
      <c r="E21" s="249" t="s">
        <v>1790</v>
      </c>
      <c r="F21" s="415">
        <v>45778</v>
      </c>
      <c r="G21" s="249" t="s">
        <v>150</v>
      </c>
      <c r="H21" s="249" t="s">
        <v>22</v>
      </c>
      <c r="I21" s="249" t="s">
        <v>275</v>
      </c>
      <c r="J21" s="434" t="s">
        <v>286</v>
      </c>
      <c r="K21" s="126">
        <v>20</v>
      </c>
      <c r="L21" s="126">
        <v>1</v>
      </c>
      <c r="M21" s="252" t="s">
        <v>46</v>
      </c>
      <c r="N21" s="249" t="s">
        <v>27</v>
      </c>
      <c r="O21" s="126">
        <v>1</v>
      </c>
      <c r="P21" s="249" t="s">
        <v>246</v>
      </c>
      <c r="Q21" s="126">
        <v>1000</v>
      </c>
      <c r="S21" s="126">
        <v>9350</v>
      </c>
      <c r="T21" s="126">
        <v>35000</v>
      </c>
      <c r="U21" s="126">
        <v>35000</v>
      </c>
      <c r="V21" s="126">
        <v>734000</v>
      </c>
      <c r="W21" s="126">
        <v>1</v>
      </c>
      <c r="X21" s="126">
        <v>1</v>
      </c>
      <c r="Y21" s="126">
        <v>5</v>
      </c>
      <c r="Z21" s="126">
        <v>2025</v>
      </c>
    </row>
    <row r="22" spans="3:26">
      <c r="C22" s="126">
        <v>15</v>
      </c>
      <c r="D22" s="126">
        <v>1</v>
      </c>
      <c r="E22" s="249" t="s">
        <v>1790</v>
      </c>
      <c r="F22" s="415">
        <v>45778</v>
      </c>
      <c r="G22" s="249" t="s">
        <v>150</v>
      </c>
      <c r="H22" s="249" t="s">
        <v>36</v>
      </c>
      <c r="I22" s="249" t="s">
        <v>276</v>
      </c>
      <c r="J22" s="434" t="s">
        <v>1797</v>
      </c>
      <c r="K22" s="126">
        <v>21</v>
      </c>
      <c r="L22" s="126">
        <v>1</v>
      </c>
      <c r="M22" s="252" t="s">
        <v>46</v>
      </c>
      <c r="N22" s="249" t="s">
        <v>27</v>
      </c>
      <c r="O22" s="126">
        <v>1</v>
      </c>
      <c r="P22" s="249" t="s">
        <v>246</v>
      </c>
      <c r="Q22" s="126">
        <v>1000</v>
      </c>
      <c r="S22" s="126">
        <v>16150</v>
      </c>
      <c r="T22" s="126">
        <v>30000</v>
      </c>
      <c r="U22" s="126">
        <v>30000</v>
      </c>
      <c r="V22" s="126">
        <v>659000</v>
      </c>
      <c r="W22" s="126">
        <v>1</v>
      </c>
      <c r="X22" s="126">
        <v>1</v>
      </c>
      <c r="Y22" s="126">
        <v>5</v>
      </c>
      <c r="Z22" s="126">
        <v>2025</v>
      </c>
    </row>
    <row r="23" spans="3:26">
      <c r="C23" s="126">
        <v>16</v>
      </c>
      <c r="D23" s="126">
        <v>2</v>
      </c>
      <c r="E23" s="249" t="s">
        <v>1793</v>
      </c>
      <c r="F23" s="415">
        <v>45779</v>
      </c>
      <c r="G23" s="249" t="s">
        <v>150</v>
      </c>
      <c r="H23" s="249" t="s">
        <v>16</v>
      </c>
      <c r="I23" s="249" t="s">
        <v>81</v>
      </c>
      <c r="J23" s="434" t="s">
        <v>283</v>
      </c>
      <c r="K23" s="126">
        <v>2</v>
      </c>
      <c r="L23" s="126">
        <v>1</v>
      </c>
      <c r="M23" s="252" t="s">
        <v>44</v>
      </c>
      <c r="N23" s="249" t="s">
        <v>22</v>
      </c>
      <c r="O23" s="126">
        <v>1</v>
      </c>
      <c r="P23" s="249" t="s">
        <v>246</v>
      </c>
      <c r="Q23" s="126">
        <v>1000</v>
      </c>
      <c r="S23" s="126">
        <v>5733</v>
      </c>
      <c r="T23" s="126">
        <v>11000</v>
      </c>
      <c r="U23" s="126">
        <v>11000</v>
      </c>
      <c r="V23" s="126">
        <v>32000</v>
      </c>
      <c r="W23" s="126">
        <v>1</v>
      </c>
      <c r="X23" s="126">
        <v>1</v>
      </c>
      <c r="Y23" s="126">
        <v>5</v>
      </c>
      <c r="Z23" s="126">
        <v>2025</v>
      </c>
    </row>
    <row r="24" spans="3:26">
      <c r="C24" s="126">
        <v>17</v>
      </c>
      <c r="D24" s="126">
        <v>2</v>
      </c>
      <c r="E24" s="249" t="s">
        <v>1793</v>
      </c>
      <c r="F24" s="415">
        <v>45779</v>
      </c>
      <c r="G24" s="249" t="s">
        <v>150</v>
      </c>
      <c r="H24" s="249" t="s">
        <v>25</v>
      </c>
      <c r="I24" s="249" t="s">
        <v>83</v>
      </c>
      <c r="J24" s="434" t="s">
        <v>280</v>
      </c>
      <c r="K24" s="126">
        <v>3</v>
      </c>
      <c r="L24" s="126">
        <v>0</v>
      </c>
      <c r="M24" s="252" t="s">
        <v>46</v>
      </c>
      <c r="N24" s="249" t="s">
        <v>27</v>
      </c>
      <c r="O24" s="126">
        <v>1</v>
      </c>
      <c r="P24" s="249" t="s">
        <v>246</v>
      </c>
      <c r="Q24" s="126">
        <v>1000</v>
      </c>
      <c r="S24" s="126">
        <v>21150</v>
      </c>
      <c r="T24" s="126">
        <v>42000</v>
      </c>
      <c r="U24" s="126">
        <v>0</v>
      </c>
      <c r="V24" s="126">
        <v>125000</v>
      </c>
      <c r="W24" s="126">
        <v>1</v>
      </c>
      <c r="X24" s="126">
        <v>1</v>
      </c>
      <c r="Y24" s="126">
        <v>5</v>
      </c>
      <c r="Z24" s="126">
        <v>2025</v>
      </c>
    </row>
    <row r="25" spans="3:26">
      <c r="C25" s="126">
        <v>18</v>
      </c>
      <c r="D25" s="126">
        <v>2</v>
      </c>
      <c r="E25" s="249" t="s">
        <v>1793</v>
      </c>
      <c r="F25" s="415">
        <v>45779</v>
      </c>
      <c r="G25" s="249" t="s">
        <v>150</v>
      </c>
      <c r="H25" s="249" t="s">
        <v>22</v>
      </c>
      <c r="I25" s="249" t="s">
        <v>275</v>
      </c>
      <c r="J25" s="434" t="s">
        <v>286</v>
      </c>
      <c r="K25" s="126">
        <v>4</v>
      </c>
      <c r="L25" s="126">
        <v>0</v>
      </c>
      <c r="M25" s="252" t="s">
        <v>46</v>
      </c>
      <c r="N25" s="249" t="s">
        <v>27</v>
      </c>
      <c r="O25" s="126">
        <v>1</v>
      </c>
      <c r="P25" s="249" t="s">
        <v>246</v>
      </c>
      <c r="Q25" s="126">
        <v>1000</v>
      </c>
      <c r="S25" s="126">
        <v>9350</v>
      </c>
      <c r="T25" s="126">
        <v>35000</v>
      </c>
      <c r="U25" s="126">
        <v>0</v>
      </c>
      <c r="V25" s="126">
        <v>139000</v>
      </c>
      <c r="W25" s="126">
        <v>1</v>
      </c>
      <c r="X25" s="126">
        <v>1</v>
      </c>
      <c r="Y25" s="126">
        <v>5</v>
      </c>
      <c r="Z25" s="126">
        <v>2025</v>
      </c>
    </row>
    <row r="26" spans="3:26">
      <c r="C26" s="126">
        <v>19</v>
      </c>
      <c r="D26" s="126">
        <v>2</v>
      </c>
      <c r="E26" s="249" t="s">
        <v>1793</v>
      </c>
      <c r="F26" s="415">
        <v>45779</v>
      </c>
      <c r="G26" s="249" t="s">
        <v>150</v>
      </c>
      <c r="H26" s="249" t="s">
        <v>22</v>
      </c>
      <c r="I26" s="249" t="s">
        <v>275</v>
      </c>
      <c r="J26" s="434" t="s">
        <v>286</v>
      </c>
      <c r="K26" s="126">
        <v>5</v>
      </c>
      <c r="L26" s="126">
        <v>0</v>
      </c>
      <c r="M26" s="252" t="s">
        <v>46</v>
      </c>
      <c r="N26" s="249" t="s">
        <v>27</v>
      </c>
      <c r="O26" s="126">
        <v>1</v>
      </c>
      <c r="P26" s="249" t="s">
        <v>246</v>
      </c>
      <c r="Q26" s="126">
        <v>1000</v>
      </c>
      <c r="S26" s="126">
        <v>9350</v>
      </c>
      <c r="T26" s="126">
        <v>35000</v>
      </c>
      <c r="U26" s="126">
        <v>0</v>
      </c>
      <c r="V26" s="126">
        <v>174000</v>
      </c>
      <c r="W26" s="126">
        <v>1</v>
      </c>
      <c r="X26" s="126">
        <v>1</v>
      </c>
      <c r="Y26" s="126">
        <v>5</v>
      </c>
      <c r="Z26" s="126">
        <v>2025</v>
      </c>
    </row>
    <row r="27" spans="3:26">
      <c r="C27" s="126">
        <v>20</v>
      </c>
      <c r="D27" s="126">
        <v>3</v>
      </c>
      <c r="E27" s="249" t="s">
        <v>1794</v>
      </c>
      <c r="F27" s="415">
        <v>45779</v>
      </c>
      <c r="G27" s="249" t="s">
        <v>151</v>
      </c>
      <c r="H27" s="249" t="s">
        <v>25</v>
      </c>
      <c r="I27" s="249" t="s">
        <v>83</v>
      </c>
      <c r="J27" s="434" t="s">
        <v>280</v>
      </c>
      <c r="K27" s="126">
        <v>2</v>
      </c>
      <c r="L27" s="126">
        <v>1</v>
      </c>
      <c r="M27" s="252" t="s">
        <v>46</v>
      </c>
      <c r="N27" s="249" t="s">
        <v>27</v>
      </c>
      <c r="O27" s="126">
        <v>1</v>
      </c>
      <c r="P27" s="249" t="s">
        <v>246</v>
      </c>
      <c r="Q27" s="126">
        <v>1000</v>
      </c>
      <c r="S27" s="126">
        <v>21150</v>
      </c>
      <c r="T27" s="126">
        <v>42000</v>
      </c>
      <c r="U27" s="126">
        <v>42000</v>
      </c>
      <c r="V27" s="126">
        <v>125000</v>
      </c>
      <c r="W27" s="126">
        <v>1</v>
      </c>
      <c r="X27" s="126">
        <v>1</v>
      </c>
      <c r="Y27" s="126">
        <v>5</v>
      </c>
      <c r="Z27" s="126">
        <v>2025</v>
      </c>
    </row>
    <row r="28" spans="3:26">
      <c r="C28" s="126">
        <v>21</v>
      </c>
      <c r="D28" s="126">
        <v>3</v>
      </c>
      <c r="E28" s="249" t="s">
        <v>1794</v>
      </c>
      <c r="F28" s="415">
        <v>45779</v>
      </c>
      <c r="G28" s="249" t="s">
        <v>151</v>
      </c>
      <c r="H28" s="249" t="s">
        <v>31</v>
      </c>
      <c r="I28" s="249" t="s">
        <v>272</v>
      </c>
      <c r="J28" s="434" t="s">
        <v>281</v>
      </c>
      <c r="K28" s="126">
        <v>3</v>
      </c>
      <c r="L28" s="126">
        <v>0</v>
      </c>
      <c r="M28" s="252" t="s">
        <v>46</v>
      </c>
      <c r="N28" s="249" t="s">
        <v>27</v>
      </c>
      <c r="O28" s="126">
        <v>1</v>
      </c>
      <c r="P28" s="249" t="s">
        <v>246</v>
      </c>
      <c r="Q28" s="126">
        <v>1000</v>
      </c>
      <c r="S28" s="126">
        <v>26150</v>
      </c>
      <c r="T28" s="126">
        <v>45000</v>
      </c>
      <c r="U28" s="126">
        <v>0</v>
      </c>
      <c r="V28" s="126">
        <v>134000</v>
      </c>
      <c r="W28" s="126">
        <v>1</v>
      </c>
      <c r="X28" s="126">
        <v>1</v>
      </c>
      <c r="Y28" s="126">
        <v>5</v>
      </c>
      <c r="Z28" s="126">
        <v>2025</v>
      </c>
    </row>
    <row r="29" spans="3:26">
      <c r="C29" s="126">
        <v>22</v>
      </c>
      <c r="D29" s="126">
        <v>3</v>
      </c>
      <c r="E29" s="249" t="s">
        <v>1794</v>
      </c>
      <c r="F29" s="415">
        <v>45779</v>
      </c>
      <c r="G29" s="249" t="s">
        <v>151</v>
      </c>
      <c r="H29" s="249" t="s">
        <v>36</v>
      </c>
      <c r="I29" s="249" t="s">
        <v>276</v>
      </c>
      <c r="J29" s="434" t="s">
        <v>1797</v>
      </c>
      <c r="K29" s="126">
        <v>4</v>
      </c>
      <c r="L29" s="126">
        <v>0</v>
      </c>
      <c r="M29" s="252" t="s">
        <v>46</v>
      </c>
      <c r="N29" s="249" t="s">
        <v>27</v>
      </c>
      <c r="O29" s="126">
        <v>1</v>
      </c>
      <c r="P29" s="249" t="s">
        <v>246</v>
      </c>
      <c r="Q29" s="126">
        <v>1000</v>
      </c>
      <c r="S29" s="126">
        <v>16150</v>
      </c>
      <c r="T29" s="126">
        <v>30000</v>
      </c>
      <c r="U29" s="126">
        <v>0</v>
      </c>
      <c r="V29" s="126">
        <v>119000</v>
      </c>
      <c r="W29" s="126">
        <v>1</v>
      </c>
      <c r="X29" s="126">
        <v>1</v>
      </c>
      <c r="Y29" s="126">
        <v>5</v>
      </c>
      <c r="Z29" s="126">
        <v>2025</v>
      </c>
    </row>
    <row r="30" spans="3:26">
      <c r="C30" s="126">
        <v>23</v>
      </c>
      <c r="D30" s="126">
        <v>4</v>
      </c>
      <c r="E30" s="249" t="s">
        <v>1820</v>
      </c>
      <c r="F30" s="415">
        <v>45796</v>
      </c>
      <c r="G30" s="249" t="s">
        <v>148</v>
      </c>
      <c r="H30" s="249" t="s">
        <v>39</v>
      </c>
      <c r="I30" s="249" t="s">
        <v>273</v>
      </c>
      <c r="J30" s="434" t="s">
        <v>285</v>
      </c>
      <c r="K30" s="126">
        <v>2</v>
      </c>
      <c r="L30" s="126">
        <v>0</v>
      </c>
      <c r="M30" s="252" t="s">
        <v>44</v>
      </c>
      <c r="N30" s="249" t="s">
        <v>22</v>
      </c>
      <c r="O30" s="126">
        <v>1</v>
      </c>
      <c r="P30" s="249" t="s">
        <v>246</v>
      </c>
      <c r="Q30" s="126">
        <v>1000</v>
      </c>
      <c r="S30" s="126">
        <v>4033</v>
      </c>
      <c r="T30" s="126">
        <v>11000</v>
      </c>
      <c r="U30" s="126">
        <v>0</v>
      </c>
      <c r="V30" s="126">
        <v>21000</v>
      </c>
      <c r="W30" s="126">
        <v>1</v>
      </c>
      <c r="X30" s="126">
        <v>3</v>
      </c>
      <c r="Y30" s="126">
        <v>5</v>
      </c>
      <c r="Z30" s="126">
        <v>2025</v>
      </c>
    </row>
    <row r="31" spans="3:26">
      <c r="C31" s="126">
        <v>24</v>
      </c>
      <c r="D31" s="126">
        <v>4</v>
      </c>
      <c r="E31" s="249" t="s">
        <v>1820</v>
      </c>
      <c r="F31" s="415">
        <v>45796</v>
      </c>
      <c r="G31" s="249" t="s">
        <v>148</v>
      </c>
      <c r="H31" s="249" t="s">
        <v>25</v>
      </c>
      <c r="I31" s="249" t="s">
        <v>83</v>
      </c>
      <c r="J31" s="434" t="s">
        <v>280</v>
      </c>
      <c r="K31" s="126">
        <v>3</v>
      </c>
      <c r="L31" s="126">
        <v>0</v>
      </c>
      <c r="M31" s="252" t="s">
        <v>46</v>
      </c>
      <c r="N31" s="249" t="s">
        <v>27</v>
      </c>
      <c r="O31" s="126">
        <v>1</v>
      </c>
      <c r="P31" s="249" t="s">
        <v>246</v>
      </c>
      <c r="Q31" s="126">
        <v>1000</v>
      </c>
      <c r="S31" s="126">
        <v>21150</v>
      </c>
      <c r="T31" s="126">
        <v>42000</v>
      </c>
      <c r="U31" s="126">
        <v>0</v>
      </c>
      <c r="V31" s="126">
        <v>125000</v>
      </c>
      <c r="W31" s="126">
        <v>1</v>
      </c>
      <c r="X31" s="126">
        <v>3</v>
      </c>
      <c r="Y31" s="126">
        <v>5</v>
      </c>
      <c r="Z31" s="126">
        <v>2025</v>
      </c>
    </row>
    <row r="32" spans="3:26">
      <c r="C32" s="126">
        <v>25</v>
      </c>
      <c r="D32" s="126">
        <v>4</v>
      </c>
      <c r="E32" s="249" t="s">
        <v>1820</v>
      </c>
      <c r="F32" s="415">
        <v>45796</v>
      </c>
      <c r="G32" s="249" t="s">
        <v>148</v>
      </c>
      <c r="H32" s="249" t="s">
        <v>34</v>
      </c>
      <c r="I32" s="249" t="s">
        <v>274</v>
      </c>
      <c r="J32" s="434" t="s">
        <v>284</v>
      </c>
      <c r="K32" s="126">
        <v>4</v>
      </c>
      <c r="L32" s="126">
        <v>0</v>
      </c>
      <c r="M32" s="252" t="s">
        <v>46</v>
      </c>
      <c r="N32" s="249" t="s">
        <v>27</v>
      </c>
      <c r="O32" s="126">
        <v>1</v>
      </c>
      <c r="P32" s="249" t="s">
        <v>246</v>
      </c>
      <c r="Q32" s="126">
        <v>1000</v>
      </c>
      <c r="S32" s="126">
        <v>22450</v>
      </c>
      <c r="T32" s="126">
        <v>45000</v>
      </c>
      <c r="U32" s="126">
        <v>0</v>
      </c>
      <c r="V32" s="126">
        <v>179000</v>
      </c>
      <c r="W32" s="126">
        <v>1</v>
      </c>
      <c r="X32" s="126">
        <v>3</v>
      </c>
      <c r="Y32" s="126">
        <v>5</v>
      </c>
      <c r="Z32" s="126">
        <v>2025</v>
      </c>
    </row>
    <row r="33" spans="3:26">
      <c r="C33" s="126">
        <v>26</v>
      </c>
      <c r="D33" s="126">
        <v>5</v>
      </c>
      <c r="E33" s="249" t="s">
        <v>1822</v>
      </c>
      <c r="F33" s="415">
        <v>45796</v>
      </c>
      <c r="G33" s="249" t="s">
        <v>148</v>
      </c>
      <c r="H33" s="249" t="s">
        <v>16</v>
      </c>
      <c r="I33" s="249" t="s">
        <v>81</v>
      </c>
      <c r="J33" s="434" t="s">
        <v>283</v>
      </c>
      <c r="K33" s="126">
        <v>2</v>
      </c>
      <c r="L33" s="126">
        <v>0</v>
      </c>
      <c r="M33" s="252" t="s">
        <v>44</v>
      </c>
      <c r="N33" s="249" t="s">
        <v>22</v>
      </c>
      <c r="O33" s="126">
        <v>1</v>
      </c>
      <c r="P33" s="249" t="s">
        <v>246</v>
      </c>
      <c r="Q33" s="126">
        <v>0</v>
      </c>
      <c r="S33" s="126">
        <v>5733</v>
      </c>
      <c r="T33" s="126">
        <v>11000</v>
      </c>
      <c r="U33" s="126">
        <v>0</v>
      </c>
      <c r="V33" s="126">
        <v>22000</v>
      </c>
      <c r="W33" s="126">
        <v>1</v>
      </c>
      <c r="X33" s="126">
        <v>3</v>
      </c>
      <c r="Y33" s="126">
        <v>5</v>
      </c>
      <c r="Z33" s="126">
        <v>2025</v>
      </c>
    </row>
    <row r="34" spans="3:26">
      <c r="C34" s="126">
        <v>27</v>
      </c>
      <c r="D34" s="126">
        <v>5</v>
      </c>
      <c r="E34" s="249" t="s">
        <v>1822</v>
      </c>
      <c r="F34" s="415">
        <v>45796</v>
      </c>
      <c r="G34" s="249" t="s">
        <v>148</v>
      </c>
      <c r="H34" s="249" t="s">
        <v>25</v>
      </c>
      <c r="I34" s="249" t="s">
        <v>83</v>
      </c>
      <c r="J34" s="434" t="s">
        <v>280</v>
      </c>
      <c r="K34" s="126">
        <v>3</v>
      </c>
      <c r="L34" s="126">
        <v>0</v>
      </c>
      <c r="M34" s="252" t="s">
        <v>46</v>
      </c>
      <c r="N34" s="249" t="s">
        <v>27</v>
      </c>
      <c r="O34" s="126">
        <v>1</v>
      </c>
      <c r="P34" s="249" t="s">
        <v>246</v>
      </c>
      <c r="Q34" s="126">
        <v>0</v>
      </c>
      <c r="S34" s="126">
        <v>21150</v>
      </c>
      <c r="T34" s="126">
        <v>42000</v>
      </c>
      <c r="U34" s="126">
        <v>0</v>
      </c>
      <c r="V34" s="126">
        <v>126000</v>
      </c>
      <c r="W34" s="126">
        <v>1</v>
      </c>
      <c r="X34" s="126">
        <v>3</v>
      </c>
      <c r="Y34" s="126">
        <v>5</v>
      </c>
      <c r="Z34" s="126">
        <v>2025</v>
      </c>
    </row>
    <row r="35" spans="3:26">
      <c r="C35" s="126">
        <v>28</v>
      </c>
      <c r="D35" s="126">
        <v>5</v>
      </c>
      <c r="E35" s="249" t="s">
        <v>1822</v>
      </c>
      <c r="F35" s="415">
        <v>45796</v>
      </c>
      <c r="G35" s="249" t="s">
        <v>148</v>
      </c>
      <c r="H35" s="249" t="s">
        <v>34</v>
      </c>
      <c r="I35" s="249" t="s">
        <v>274</v>
      </c>
      <c r="J35" s="434" t="s">
        <v>284</v>
      </c>
      <c r="K35" s="126">
        <v>4</v>
      </c>
      <c r="L35" s="126">
        <v>0</v>
      </c>
      <c r="M35" s="252" t="s">
        <v>46</v>
      </c>
      <c r="N35" s="249" t="s">
        <v>27</v>
      </c>
      <c r="O35" s="126">
        <v>1</v>
      </c>
      <c r="P35" s="249" t="s">
        <v>246</v>
      </c>
      <c r="Q35" s="126">
        <v>0</v>
      </c>
      <c r="S35" s="126">
        <v>22450</v>
      </c>
      <c r="T35" s="126">
        <v>45000</v>
      </c>
      <c r="U35" s="126">
        <v>0</v>
      </c>
      <c r="V35" s="126">
        <v>180000</v>
      </c>
      <c r="W35" s="126">
        <v>1</v>
      </c>
      <c r="X35" s="126">
        <v>3</v>
      </c>
      <c r="Y35" s="126">
        <v>5</v>
      </c>
      <c r="Z35" s="126">
        <v>2025</v>
      </c>
    </row>
    <row r="36" spans="3:26">
      <c r="C36" s="126">
        <v>29</v>
      </c>
      <c r="D36" s="126">
        <v>6</v>
      </c>
      <c r="E36" s="249" t="s">
        <v>1824</v>
      </c>
      <c r="F36" s="415">
        <v>45796</v>
      </c>
      <c r="G36" s="249" t="s">
        <v>148</v>
      </c>
      <c r="H36" s="249" t="s">
        <v>25</v>
      </c>
      <c r="I36" s="249" t="s">
        <v>83</v>
      </c>
      <c r="J36" s="434" t="s">
        <v>280</v>
      </c>
      <c r="K36" s="126">
        <v>10</v>
      </c>
      <c r="L36" s="126">
        <v>1</v>
      </c>
      <c r="M36" s="252" t="s">
        <v>46</v>
      </c>
      <c r="N36" s="249" t="s">
        <v>27</v>
      </c>
      <c r="O36" s="126">
        <v>1</v>
      </c>
      <c r="P36" s="249" t="s">
        <v>246</v>
      </c>
      <c r="Q36" s="126">
        <v>2000</v>
      </c>
      <c r="S36" s="126">
        <v>21150</v>
      </c>
      <c r="T36" s="126">
        <v>42000</v>
      </c>
      <c r="U36" s="126">
        <v>42000</v>
      </c>
      <c r="V36" s="126">
        <v>460000</v>
      </c>
      <c r="W36" s="126">
        <v>1</v>
      </c>
      <c r="X36" s="126">
        <v>3</v>
      </c>
      <c r="Y36" s="126">
        <v>5</v>
      </c>
      <c r="Z36" s="126">
        <v>2025</v>
      </c>
    </row>
    <row r="37" spans="3:26">
      <c r="C37" s="126">
        <v>30</v>
      </c>
      <c r="D37" s="126">
        <v>7</v>
      </c>
      <c r="E37" s="249" t="s">
        <v>1848</v>
      </c>
      <c r="F37" s="415">
        <v>45797</v>
      </c>
      <c r="G37" s="249" t="s">
        <v>149</v>
      </c>
      <c r="H37" s="249" t="s">
        <v>16</v>
      </c>
      <c r="I37" s="249" t="s">
        <v>81</v>
      </c>
      <c r="J37" s="434" t="s">
        <v>283</v>
      </c>
      <c r="K37" s="126">
        <v>1</v>
      </c>
      <c r="L37" s="126">
        <v>5</v>
      </c>
      <c r="M37" s="252" t="s">
        <v>44</v>
      </c>
      <c r="N37" s="249" t="s">
        <v>22</v>
      </c>
      <c r="O37" s="126">
        <v>1</v>
      </c>
      <c r="P37" s="249" t="s">
        <v>246</v>
      </c>
      <c r="Q37" s="126">
        <v>11000</v>
      </c>
      <c r="S37" s="126">
        <v>5733</v>
      </c>
      <c r="T37" s="126">
        <v>11000</v>
      </c>
      <c r="U37" s="126">
        <v>66000</v>
      </c>
      <c r="V37" s="126">
        <v>0</v>
      </c>
      <c r="W37" s="126">
        <v>1</v>
      </c>
      <c r="X37" s="126">
        <v>3</v>
      </c>
      <c r="Y37" s="126">
        <v>5</v>
      </c>
      <c r="Z37" s="126">
        <v>2025</v>
      </c>
    </row>
    <row r="38" spans="3:26">
      <c r="C38" s="126">
        <v>31</v>
      </c>
      <c r="D38" s="126">
        <v>8</v>
      </c>
      <c r="E38" s="249" t="s">
        <v>1848</v>
      </c>
      <c r="F38" s="415">
        <v>45799</v>
      </c>
      <c r="G38" s="249" t="s">
        <v>149</v>
      </c>
      <c r="H38" s="249" t="s">
        <v>16</v>
      </c>
      <c r="I38" s="249" t="s">
        <v>81</v>
      </c>
      <c r="J38" s="434" t="s">
        <v>283</v>
      </c>
      <c r="K38" s="126">
        <v>1</v>
      </c>
      <c r="L38" s="126">
        <v>5</v>
      </c>
      <c r="M38" s="252" t="s">
        <v>44</v>
      </c>
      <c r="N38" s="249" t="s">
        <v>22</v>
      </c>
      <c r="O38" s="126">
        <v>1</v>
      </c>
      <c r="P38" s="249" t="s">
        <v>246</v>
      </c>
      <c r="Q38" s="126">
        <v>11000</v>
      </c>
      <c r="S38" s="126">
        <v>5733</v>
      </c>
      <c r="T38" s="126">
        <v>11000</v>
      </c>
      <c r="U38" s="126">
        <v>66000</v>
      </c>
      <c r="V38" s="126">
        <v>0</v>
      </c>
      <c r="W38" s="126">
        <v>1</v>
      </c>
      <c r="X38" s="126">
        <v>4</v>
      </c>
      <c r="Y38" s="126">
        <v>5</v>
      </c>
      <c r="Z38" s="126">
        <v>2025</v>
      </c>
    </row>
    <row r="39" spans="3:26">
      <c r="C39" s="126">
        <v>32</v>
      </c>
      <c r="D39" s="126">
        <v>8</v>
      </c>
      <c r="E39" s="249" t="s">
        <v>1848</v>
      </c>
      <c r="F39" s="415">
        <v>45799</v>
      </c>
      <c r="G39" s="249" t="s">
        <v>149</v>
      </c>
      <c r="H39" s="249" t="s">
        <v>31</v>
      </c>
      <c r="I39" s="249" t="s">
        <v>272</v>
      </c>
      <c r="J39" s="434" t="s">
        <v>281</v>
      </c>
      <c r="K39" s="126">
        <v>1</v>
      </c>
      <c r="L39" s="126">
        <v>5</v>
      </c>
      <c r="M39" s="252" t="s">
        <v>46</v>
      </c>
      <c r="N39" s="249" t="s">
        <v>27</v>
      </c>
      <c r="O39" s="126">
        <v>1</v>
      </c>
      <c r="P39" s="249" t="s">
        <v>246</v>
      </c>
      <c r="Q39" s="126">
        <v>11000</v>
      </c>
      <c r="S39" s="126">
        <v>26150</v>
      </c>
      <c r="T39" s="126">
        <v>45000</v>
      </c>
      <c r="U39" s="126">
        <v>236000</v>
      </c>
      <c r="V39" s="126">
        <v>34000</v>
      </c>
      <c r="W39" s="126">
        <v>1</v>
      </c>
      <c r="X39" s="126">
        <v>4</v>
      </c>
      <c r="Y39" s="126">
        <v>5</v>
      </c>
      <c r="Z39" s="126">
        <v>2025</v>
      </c>
    </row>
    <row r="40" spans="3:26">
      <c r="C40" s="126">
        <v>33</v>
      </c>
      <c r="D40" s="126">
        <v>9</v>
      </c>
      <c r="E40" s="249" t="s">
        <v>1850</v>
      </c>
      <c r="F40" s="415">
        <v>45799</v>
      </c>
      <c r="G40" s="249" t="s">
        <v>148</v>
      </c>
      <c r="H40" s="249" t="s">
        <v>16</v>
      </c>
      <c r="I40" s="249" t="s">
        <v>81</v>
      </c>
      <c r="J40" s="434" t="s">
        <v>283</v>
      </c>
      <c r="K40" s="126">
        <v>5</v>
      </c>
      <c r="L40" s="126">
        <v>1</v>
      </c>
      <c r="M40" s="252" t="s">
        <v>44</v>
      </c>
      <c r="N40" s="249" t="s">
        <v>22</v>
      </c>
      <c r="O40" s="126">
        <v>1</v>
      </c>
      <c r="P40" s="249" t="s">
        <v>246</v>
      </c>
      <c r="Q40" s="126">
        <v>11000</v>
      </c>
      <c r="S40" s="126">
        <v>5733</v>
      </c>
      <c r="T40" s="126">
        <v>11000</v>
      </c>
      <c r="U40" s="126">
        <v>22000</v>
      </c>
      <c r="V40" s="126">
        <v>44000</v>
      </c>
      <c r="W40" s="126">
        <v>1</v>
      </c>
      <c r="X40" s="126">
        <v>4</v>
      </c>
      <c r="Y40" s="126">
        <v>5</v>
      </c>
      <c r="Z40" s="126">
        <v>2025</v>
      </c>
    </row>
    <row r="41" spans="3:26">
      <c r="C41" s="126">
        <v>34</v>
      </c>
      <c r="D41" s="126">
        <v>10</v>
      </c>
      <c r="E41" s="249" t="s">
        <v>1857</v>
      </c>
      <c r="F41" s="415">
        <v>45799</v>
      </c>
      <c r="G41" s="249" t="s">
        <v>148</v>
      </c>
      <c r="H41" s="249" t="s">
        <v>16</v>
      </c>
      <c r="I41" s="249" t="s">
        <v>81</v>
      </c>
      <c r="J41" s="434" t="s">
        <v>283</v>
      </c>
      <c r="K41" s="126">
        <v>0</v>
      </c>
      <c r="L41" s="126">
        <v>5</v>
      </c>
      <c r="M41" s="252" t="s">
        <v>44</v>
      </c>
      <c r="N41" s="249" t="s">
        <v>22</v>
      </c>
      <c r="O41" s="126">
        <v>1</v>
      </c>
      <c r="P41" s="249" t="s">
        <v>246</v>
      </c>
      <c r="Q41" s="126">
        <v>0</v>
      </c>
      <c r="S41" s="126">
        <v>5733</v>
      </c>
      <c r="T41" s="126">
        <v>11000</v>
      </c>
      <c r="U41" s="126">
        <v>55000</v>
      </c>
      <c r="V41" s="126">
        <v>0</v>
      </c>
      <c r="W41" s="126">
        <v>1</v>
      </c>
      <c r="X41" s="126">
        <v>4</v>
      </c>
      <c r="Y41" s="126">
        <v>5</v>
      </c>
      <c r="Z41" s="126">
        <v>2025</v>
      </c>
    </row>
    <row r="42" spans="3:26">
      <c r="C42" s="126">
        <v>35</v>
      </c>
      <c r="D42" s="126">
        <v>11</v>
      </c>
      <c r="E42" s="249" t="s">
        <v>1858</v>
      </c>
      <c r="F42" s="415">
        <v>45799</v>
      </c>
      <c r="G42" s="249" t="s">
        <v>148</v>
      </c>
      <c r="H42" s="249" t="s">
        <v>16</v>
      </c>
      <c r="I42" s="249" t="s">
        <v>81</v>
      </c>
      <c r="J42" s="434" t="s">
        <v>283</v>
      </c>
      <c r="K42" s="126">
        <v>9</v>
      </c>
      <c r="L42" s="126">
        <v>0</v>
      </c>
      <c r="M42" s="252" t="s">
        <v>44</v>
      </c>
      <c r="N42" s="249" t="s">
        <v>22</v>
      </c>
      <c r="O42" s="126">
        <v>1</v>
      </c>
      <c r="P42" s="249" t="s">
        <v>246</v>
      </c>
      <c r="Q42" s="126">
        <v>0</v>
      </c>
      <c r="S42" s="126">
        <v>5733</v>
      </c>
      <c r="T42" s="126">
        <v>11000</v>
      </c>
      <c r="U42" s="126">
        <v>0</v>
      </c>
      <c r="V42" s="126">
        <v>99000</v>
      </c>
      <c r="W42" s="126">
        <v>1</v>
      </c>
      <c r="X42" s="126">
        <v>4</v>
      </c>
      <c r="Y42" s="126">
        <v>5</v>
      </c>
      <c r="Z42" s="126">
        <v>2025</v>
      </c>
    </row>
  </sheetData>
  <autoFilter ref="C7:Z10" xr:uid="{E833AD83-9173-4308-8609-76A3A1A8CDC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01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228600</xdr:rowOff>
                  </from>
                  <to>
                    <xdr:col>4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202" r:id="rId4" name="Button 2">
              <controlPr defaultSize="0" print="0" autoFill="0" autoPict="0" macro="[0]!goAddQuotation">
                <anchor moveWithCells="1" sizeWithCells="1">
                  <from>
                    <xdr:col>4</xdr:col>
                    <xdr:colOff>238125</xdr:colOff>
                    <xdr:row>2</xdr:row>
                    <xdr:rowOff>238125</xdr:rowOff>
                  </from>
                  <to>
                    <xdr:col>5</xdr:col>
                    <xdr:colOff>666750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zoomScale="90" zoomScaleNormal="90" workbookViewId="0">
      <pane ySplit="7" topLeftCell="A8" activePane="bottomLeft" state="frozen"/>
      <selection pane="bottomLeft" activeCell="O23" sqref="O23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450" t="s">
        <v>59</v>
      </c>
      <c r="D6" s="450" t="s">
        <v>1740</v>
      </c>
      <c r="E6" s="450" t="s">
        <v>1767</v>
      </c>
      <c r="F6" s="450" t="s">
        <v>354</v>
      </c>
      <c r="G6" s="450" t="s">
        <v>1757</v>
      </c>
      <c r="H6" s="450" t="s">
        <v>1758</v>
      </c>
      <c r="I6" s="450" t="s">
        <v>91</v>
      </c>
      <c r="J6" s="450" t="s">
        <v>1759</v>
      </c>
      <c r="K6" s="450" t="s">
        <v>1760</v>
      </c>
      <c r="L6" s="450" t="s">
        <v>1761</v>
      </c>
      <c r="M6" s="450" t="s">
        <v>1762</v>
      </c>
      <c r="N6" s="450" t="s">
        <v>1764</v>
      </c>
      <c r="O6" s="450" t="s">
        <v>1763</v>
      </c>
      <c r="P6" s="450" t="s">
        <v>76</v>
      </c>
      <c r="Q6" s="450" t="s">
        <v>373</v>
      </c>
      <c r="R6" s="450" t="s">
        <v>1765</v>
      </c>
      <c r="S6" s="450" t="s">
        <v>264</v>
      </c>
    </row>
    <row r="7" spans="3:19">
      <c r="C7" s="410" t="s">
        <v>328</v>
      </c>
      <c r="D7" s="410" t="s">
        <v>1753</v>
      </c>
      <c r="E7" s="410" t="s">
        <v>1766</v>
      </c>
      <c r="F7" s="410" t="s">
        <v>343</v>
      </c>
      <c r="G7" s="410" t="s">
        <v>837</v>
      </c>
      <c r="H7" s="410" t="s">
        <v>92</v>
      </c>
      <c r="I7" s="410" t="s">
        <v>93</v>
      </c>
      <c r="J7" s="410" t="s">
        <v>15</v>
      </c>
      <c r="K7" s="410" t="s">
        <v>1754</v>
      </c>
      <c r="L7" s="410" t="s">
        <v>403</v>
      </c>
      <c r="M7" s="410" t="s">
        <v>1755</v>
      </c>
      <c r="N7" s="410" t="s">
        <v>1756</v>
      </c>
      <c r="O7" s="410" t="s">
        <v>1732</v>
      </c>
      <c r="P7" s="410" t="s">
        <v>94</v>
      </c>
      <c r="Q7" s="410" t="s">
        <v>38</v>
      </c>
      <c r="R7" s="410" t="s">
        <v>407</v>
      </c>
      <c r="S7" s="410" t="s">
        <v>212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0801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1</xdr:row>
                    <xdr:rowOff>171450</xdr:rowOff>
                  </from>
                  <to>
                    <xdr:col>3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zoomScale="90" zoomScaleNormal="90" workbookViewId="0">
      <pane ySplit="5" topLeftCell="A6" activePane="bottomLeft" state="frozen"/>
      <selection pane="bottomLeft" activeCell="H19" sqref="H19"/>
    </sheetView>
  </sheetViews>
  <sheetFormatPr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249" customWidth="1"/>
    <col min="5" max="5" width="63.85546875" style="260" customWidth="1"/>
    <col min="6" max="6" width="27.5703125" style="678" customWidth="1"/>
    <col min="7" max="7" width="12.85546875" style="126" customWidth="1"/>
    <col min="8" max="8" width="24.5703125" style="260" bestFit="1" customWidth="1"/>
    <col min="9" max="16384" width="9.140625" style="128"/>
  </cols>
  <sheetData>
    <row r="1" spans="3:8" ht="13.5" customHeight="1">
      <c r="E1" s="127"/>
      <c r="F1" s="434"/>
      <c r="H1" s="128"/>
    </row>
    <row r="2" spans="3:8" ht="39.75" customHeight="1">
      <c r="C2" s="1309" t="s">
        <v>1826</v>
      </c>
      <c r="D2" s="1309"/>
      <c r="E2" s="1309"/>
      <c r="F2" s="1309"/>
      <c r="G2" s="1309"/>
      <c r="H2" s="128"/>
    </row>
    <row r="3" spans="3:8" ht="14.25" hidden="1" customHeight="1">
      <c r="E3" s="127"/>
      <c r="F3" s="434"/>
      <c r="H3" s="128"/>
    </row>
    <row r="4" spans="3:8" ht="29.25" customHeight="1">
      <c r="C4" s="390" t="s">
        <v>59</v>
      </c>
      <c r="D4" s="674" t="s">
        <v>204</v>
      </c>
      <c r="E4" s="390" t="s">
        <v>1831</v>
      </c>
      <c r="F4" s="674" t="s">
        <v>145</v>
      </c>
      <c r="G4" s="390" t="s">
        <v>264</v>
      </c>
      <c r="H4" s="128"/>
    </row>
    <row r="5" spans="3:8" ht="17.25" customHeight="1">
      <c r="C5" s="392" t="s">
        <v>10</v>
      </c>
      <c r="D5" s="675" t="s">
        <v>136</v>
      </c>
      <c r="E5" s="392" t="s">
        <v>1832</v>
      </c>
      <c r="F5" s="675" t="s">
        <v>413</v>
      </c>
      <c r="G5" s="392" t="s">
        <v>212</v>
      </c>
      <c r="H5" s="128"/>
    </row>
    <row r="6" spans="3:8" ht="24.95" customHeight="1">
      <c r="C6" s="384">
        <v>1</v>
      </c>
      <c r="D6" s="383" t="s">
        <v>1835</v>
      </c>
      <c r="E6" s="393" t="s">
        <v>876</v>
      </c>
      <c r="F6" s="677" t="s">
        <v>1852</v>
      </c>
      <c r="G6" s="384">
        <v>1</v>
      </c>
      <c r="H6" s="260" t="str">
        <f>IF(AND(D6="",E6=""),"",D6&amp;"."&amp;E6)</f>
        <v>ST00001.ភូមិដំរីឆ្លង ឃុំសង្វើយ ស្រុកជីក្រែង ខេត្តសៀមរាប</v>
      </c>
    </row>
    <row r="7" spans="3:8" ht="24.95" customHeight="1">
      <c r="C7" s="384">
        <v>2</v>
      </c>
      <c r="D7" s="383" t="s">
        <v>1836</v>
      </c>
      <c r="E7" s="393" t="s">
        <v>1833</v>
      </c>
      <c r="F7" s="677"/>
      <c r="G7" s="384">
        <v>1</v>
      </c>
      <c r="H7" s="260" t="str">
        <f>IF(AND(D7="",E7=""),"",D7&amp;"."&amp;E7)</f>
        <v>ST00002.គោកឃ្លាង សែនសុខ ភ្នំពេញថ្មី ភ្នំពេញ</v>
      </c>
    </row>
    <row r="8" spans="3:8" ht="24.95" customHeight="1">
      <c r="C8" s="384">
        <v>3</v>
      </c>
      <c r="D8" s="383" t="s">
        <v>1837</v>
      </c>
      <c r="E8" s="393" t="s">
        <v>1834</v>
      </c>
      <c r="F8" s="677" t="s">
        <v>1853</v>
      </c>
      <c r="G8" s="384">
        <v>1</v>
      </c>
      <c r="H8" s="260" t="str">
        <f>IF(AND(D8="",E8=""),"",D8&amp;"."&amp;E8)</f>
        <v>ST00003.ទឹកល្អក់៣ ទួលគោក ភ្នំពេញ</v>
      </c>
    </row>
    <row r="9" spans="3:8" ht="24.95" customHeight="1">
      <c r="C9" s="384">
        <v>4</v>
      </c>
      <c r="D9" s="383" t="s">
        <v>1838</v>
      </c>
      <c r="E9" s="393" t="s">
        <v>1839</v>
      </c>
      <c r="F9" s="677" t="s">
        <v>1854</v>
      </c>
      <c r="G9" s="384">
        <v>1</v>
      </c>
      <c r="H9" s="260" t="str">
        <f>IF(AND(D9="",E9=""),"",D9&amp;"."&amp;E9)</f>
        <v>ST00004.បឹងសាឡាង ទឹកល្អក់៣ ទួលគោក ភ្នំពេញ</v>
      </c>
    </row>
    <row r="10" spans="3:8" ht="24.95" customHeight="1">
      <c r="C10" s="384"/>
      <c r="D10" s="383"/>
      <c r="E10" s="393"/>
      <c r="F10" s="677"/>
      <c r="G10" s="384"/>
    </row>
    <row r="11" spans="3:8" ht="24.95" customHeight="1">
      <c r="C11" s="384"/>
      <c r="D11" s="383"/>
      <c r="E11" s="393"/>
      <c r="F11" s="677"/>
      <c r="G11" s="384"/>
    </row>
    <row r="12" spans="3:8" ht="24.95" customHeight="1">
      <c r="C12" s="384"/>
      <c r="D12" s="383"/>
      <c r="E12" s="393"/>
      <c r="F12" s="677"/>
      <c r="G12" s="384"/>
    </row>
    <row r="13" spans="3:8" ht="24.95" customHeight="1">
      <c r="C13" s="384"/>
      <c r="D13" s="383"/>
      <c r="E13" s="393"/>
      <c r="F13" s="677"/>
      <c r="G13" s="384"/>
    </row>
    <row r="14" spans="3:8" ht="24.95" customHeight="1">
      <c r="C14" s="384"/>
      <c r="D14" s="383"/>
      <c r="E14" s="393"/>
      <c r="F14" s="677"/>
      <c r="G14" s="384"/>
    </row>
    <row r="15" spans="3:8" ht="24.95" customHeight="1">
      <c r="C15" s="384"/>
      <c r="D15" s="383"/>
      <c r="E15" s="393"/>
      <c r="F15" s="677"/>
      <c r="G15" s="384"/>
    </row>
    <row r="16" spans="3:8">
      <c r="C16" s="384"/>
      <c r="D16" s="383"/>
      <c r="E16" s="393"/>
      <c r="F16" s="677"/>
      <c r="G16" s="384"/>
    </row>
    <row r="17" spans="3:7" ht="24.95" customHeight="1">
      <c r="C17" s="384"/>
      <c r="D17" s="383"/>
      <c r="E17" s="393"/>
      <c r="F17" s="677"/>
      <c r="G17" s="384"/>
    </row>
    <row r="18" spans="3:7" ht="24.95" customHeight="1">
      <c r="C18" s="384"/>
      <c r="D18" s="383"/>
      <c r="E18" s="393"/>
      <c r="F18" s="677"/>
      <c r="G18" s="384"/>
    </row>
    <row r="19" spans="3:7" ht="24.95" customHeight="1">
      <c r="C19" s="384"/>
      <c r="D19" s="383"/>
      <c r="E19" s="393"/>
      <c r="F19" s="677"/>
      <c r="G19" s="676"/>
    </row>
    <row r="20" spans="3:7" ht="24.95" customHeight="1"/>
    <row r="28" spans="3:7" ht="24.95" customHeight="1"/>
  </sheetData>
  <phoneticPr fontId="3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187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7</xdr:col>
                    <xdr:colOff>200025</xdr:colOff>
                    <xdr:row>1</xdr:row>
                    <xdr:rowOff>485775</xdr:rowOff>
                  </from>
                  <to>
                    <xdr:col>7</xdr:col>
                    <xdr:colOff>1428750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>
    <tabColor rgb="FF0066CC"/>
  </sheetPr>
  <dimension ref="A1:Z59"/>
  <sheetViews>
    <sheetView showGridLines="0" showWhiteSpace="0" zoomScale="80" zoomScaleNormal="80" zoomScaleSheetLayoutView="100" zoomScalePageLayoutView="87" workbookViewId="0">
      <selection activeCell="AA26" sqref="AA26"/>
    </sheetView>
  </sheetViews>
  <sheetFormatPr defaultColWidth="8.7109375" defaultRowHeight="24" customHeight="1"/>
  <cols>
    <col min="1" max="1" width="3.140625" style="81" customWidth="1"/>
    <col min="2" max="2" width="1.5703125" customWidth="1"/>
    <col min="3" max="3" width="4" customWidth="1"/>
    <col min="4" max="4" width="8" customWidth="1"/>
    <col min="5" max="5" width="3.7109375" style="5" customWidth="1"/>
    <col min="6" max="6" width="21.7109375" style="5" customWidth="1"/>
    <col min="7" max="7" width="20.28515625" style="5" customWidth="1"/>
    <col min="8" max="8" width="11.5703125" style="2" customWidth="1"/>
    <col min="9" max="9" width="3.7109375" style="2" customWidth="1"/>
    <col min="10" max="10" width="14.85546875" style="1" customWidth="1"/>
    <col min="11" max="11" width="3.85546875" style="1" customWidth="1"/>
    <col min="12" max="12" width="7.85546875" hidden="1" customWidth="1"/>
    <col min="13" max="13" width="5.7109375" hidden="1" customWidth="1"/>
    <col min="14" max="14" width="2" style="47" customWidth="1"/>
    <col min="15" max="15" width="20" style="139" customWidth="1"/>
    <col min="16" max="16" width="4" style="13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spans="1:26" ht="33.75" customHeight="1">
      <c r="B1" s="1708" t="s">
        <v>238</v>
      </c>
      <c r="C1" s="1708"/>
      <c r="D1" s="1708"/>
      <c r="E1" s="1708"/>
      <c r="F1" s="1708"/>
      <c r="G1" s="1708"/>
      <c r="H1" s="1708"/>
      <c r="I1" s="1708"/>
      <c r="J1" s="1708"/>
      <c r="K1" s="245"/>
      <c r="L1" s="245"/>
      <c r="M1" s="245"/>
      <c r="N1" s="308"/>
      <c r="O1" s="1710" t="s">
        <v>222</v>
      </c>
      <c r="P1" s="1710"/>
      <c r="Q1" s="1710"/>
      <c r="R1" s="1710"/>
      <c r="S1" s="1710"/>
      <c r="T1" s="1710"/>
      <c r="U1" s="1710"/>
      <c r="V1" s="1710"/>
      <c r="W1" s="1710"/>
      <c r="X1" s="1711"/>
      <c r="Y1" s="2" t="s">
        <v>308</v>
      </c>
      <c r="Z1" s="139">
        <v>2025</v>
      </c>
    </row>
    <row r="2" spans="1:26" ht="24" customHeight="1">
      <c r="N2" s="309"/>
      <c r="O2" s="1712"/>
      <c r="P2" s="1712"/>
      <c r="Q2" s="1712"/>
      <c r="R2" s="1712"/>
      <c r="S2" s="1712"/>
      <c r="T2" s="1712"/>
      <c r="U2" s="1712"/>
      <c r="V2" s="1712"/>
      <c r="W2" s="1712"/>
      <c r="X2" s="1713"/>
      <c r="Z2" s="139"/>
    </row>
    <row r="3" spans="1:26" ht="24" customHeight="1"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310"/>
      <c r="O3" s="311" t="s">
        <v>392</v>
      </c>
      <c r="P3" s="226" t="s">
        <v>120</v>
      </c>
      <c r="Q3" s="300">
        <v>188</v>
      </c>
      <c r="T3" s="259" t="s">
        <v>212</v>
      </c>
      <c r="U3" s="222" t="s">
        <v>120</v>
      </c>
      <c r="V3" s="334" t="str">
        <f>IF(c_other_expense_status=1,"Exist","Not exist")</f>
        <v>Not exist</v>
      </c>
      <c r="W3" s="335">
        <v>0</v>
      </c>
      <c r="X3" s="312"/>
      <c r="Z3" s="409"/>
    </row>
    <row r="4" spans="1:26" ht="27.75" customHeight="1">
      <c r="B4" s="159"/>
      <c r="C4" s="159"/>
      <c r="D4" s="159"/>
      <c r="E4" s="159"/>
      <c r="F4" s="159"/>
      <c r="G4" s="159"/>
      <c r="H4" s="159"/>
      <c r="I4" s="159"/>
      <c r="J4" s="1722"/>
      <c r="K4" s="159"/>
      <c r="L4" s="166"/>
      <c r="M4" s="166"/>
      <c r="N4" s="310"/>
      <c r="O4" s="311" t="s">
        <v>381</v>
      </c>
      <c r="P4" s="226" t="s">
        <v>120</v>
      </c>
      <c r="Q4" s="297" t="s">
        <v>267</v>
      </c>
      <c r="R4" s="204">
        <f>IF(Q4="","",MID(Q4,1,2)*1)</f>
        <v>1</v>
      </c>
      <c r="T4" s="311" t="s">
        <v>398</v>
      </c>
      <c r="U4" s="222" t="s">
        <v>120</v>
      </c>
      <c r="V4" s="298" t="s">
        <v>207</v>
      </c>
      <c r="W4" s="204">
        <f>IF(V4="","",MID(V4,1,3)*1)</f>
        <v>4</v>
      </c>
      <c r="X4" s="312"/>
    </row>
    <row r="5" spans="1:26" ht="27" customHeight="1">
      <c r="B5" s="148"/>
      <c r="C5" s="148"/>
      <c r="D5" s="148"/>
      <c r="E5" s="148"/>
      <c r="F5" s="148"/>
      <c r="G5" s="148"/>
      <c r="H5" s="192"/>
      <c r="I5" s="162"/>
      <c r="J5" s="1722"/>
      <c r="L5" s="175"/>
      <c r="M5" s="175"/>
      <c r="N5" s="313"/>
      <c r="P5" s="226"/>
      <c r="R5" s="81"/>
      <c r="U5" s="222"/>
      <c r="X5" s="312"/>
    </row>
    <row r="6" spans="1:26" ht="25.5">
      <c r="B6" s="158"/>
      <c r="C6" s="158"/>
      <c r="D6" s="158"/>
      <c r="E6" s="158"/>
      <c r="F6" s="158"/>
      <c r="G6" s="158"/>
      <c r="H6" s="160"/>
      <c r="I6" s="162"/>
      <c r="J6" s="1722"/>
      <c r="L6" s="218"/>
      <c r="M6" s="218"/>
      <c r="N6" s="313"/>
      <c r="O6" s="225" t="s">
        <v>393</v>
      </c>
      <c r="P6" s="226" t="s">
        <v>120</v>
      </c>
      <c r="Q6" s="395"/>
      <c r="R6" s="209" t="str">
        <f>IFERROR(IF(AND(Q6&lt;&gt;"",Q6&gt;0),"("&amp;Q6&amp;")",""),"")</f>
        <v/>
      </c>
      <c r="T6" s="342" t="s">
        <v>380</v>
      </c>
      <c r="U6" s="222" t="s">
        <v>120</v>
      </c>
      <c r="V6" s="399">
        <v>46182</v>
      </c>
      <c r="W6" s="343"/>
      <c r="X6" s="312"/>
    </row>
    <row r="7" spans="1:26" ht="8.25" customHeight="1">
      <c r="B7" s="158"/>
      <c r="C7" s="158"/>
      <c r="D7" s="158"/>
      <c r="E7" s="158"/>
      <c r="F7" s="158"/>
      <c r="G7" s="158"/>
      <c r="H7" s="160"/>
      <c r="I7" s="162"/>
      <c r="J7" s="231"/>
      <c r="L7" s="218"/>
      <c r="M7" s="218"/>
      <c r="N7" s="313"/>
      <c r="O7" s="342"/>
      <c r="P7" s="226"/>
      <c r="Q7" s="344"/>
      <c r="R7" s="209"/>
      <c r="T7" s="342"/>
      <c r="U7" s="342"/>
      <c r="V7" s="343"/>
      <c r="W7" s="343"/>
      <c r="X7" s="312"/>
    </row>
    <row r="8" spans="1:26" s="3" customFormat="1" ht="34.5" customHeight="1">
      <c r="A8" s="81"/>
      <c r="B8" s="158"/>
      <c r="C8" s="219" t="s">
        <v>230</v>
      </c>
      <c r="D8" s="219"/>
      <c r="E8" s="179" t="s">
        <v>120</v>
      </c>
      <c r="F8" s="244" t="str">
        <f>IF(c_exp_vendor_id="","",VLOOKUP(c_exp_vendor_id,vendor_list,2,FALSE)&amp;"_"&amp;VLOOKUP(c_exp_vendor_id,vendor_list,4,FALSE))</f>
        <v>_ជីប ម៉ុង</v>
      </c>
      <c r="H8" s="240" t="s">
        <v>108</v>
      </c>
      <c r="I8" s="135" t="s">
        <v>120</v>
      </c>
      <c r="J8" s="679" t="str">
        <f>"EXP"&amp;RIGHT(YEAR(c_rp_current_date),2)&amp;TEXT(Q3,"0000")</f>
        <v>EXP260188</v>
      </c>
      <c r="K8" s="203"/>
      <c r="L8" s="179"/>
      <c r="M8" s="179"/>
      <c r="N8" s="345" t="str">
        <f>IFERROR(VLOOKUP(c_customer_id_hidden,customer_list,2,FALSE),"")</f>
        <v/>
      </c>
      <c r="O8" s="342" t="s">
        <v>394</v>
      </c>
      <c r="P8" s="226" t="s">
        <v>120</v>
      </c>
      <c r="Q8" s="859" t="s">
        <v>2260</v>
      </c>
      <c r="R8" s="1003">
        <f>MID(exp_vendor_option,1,5)*1</f>
        <v>1</v>
      </c>
      <c r="S8" s="859"/>
      <c r="T8" s="346" t="s">
        <v>102</v>
      </c>
      <c r="U8" s="251"/>
      <c r="V8" s="223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2</v>
      </c>
      <c r="W8" s="200"/>
      <c r="X8" s="314"/>
    </row>
    <row r="9" spans="1:26" s="126" customFormat="1" ht="32.25" customHeight="1">
      <c r="A9" s="81"/>
      <c r="C9" s="203" t="s">
        <v>145</v>
      </c>
      <c r="D9" s="203"/>
      <c r="E9" s="179" t="s">
        <v>120</v>
      </c>
      <c r="F9" s="128" t="str">
        <f>IF(c_exp_vendor_id="","",VLOOKUP(c_exp_vendor_id,vendor_list,6,FALSE))</f>
        <v>អ៊ឹម វិចិត្រ</v>
      </c>
      <c r="H9" s="241" t="s">
        <v>99</v>
      </c>
      <c r="I9" s="135" t="s">
        <v>120</v>
      </c>
      <c r="J9" s="242">
        <f>IF(c_exp_current_date="","",c_exp_current_date)</f>
        <v>46182</v>
      </c>
      <c r="K9" s="229"/>
      <c r="L9" s="230"/>
      <c r="M9" s="230"/>
      <c r="N9" s="347"/>
      <c r="O9" s="326" t="s">
        <v>395</v>
      </c>
      <c r="P9" s="226"/>
      <c r="Q9" s="299"/>
      <c r="R9" s="348" t="str">
        <f>MID(exp_member_option,1,2)</f>
        <v/>
      </c>
      <c r="S9" s="349"/>
      <c r="X9" s="315"/>
    </row>
    <row r="10" spans="1:26" s="147" customFormat="1" ht="27.95" customHeight="1">
      <c r="A10" s="81"/>
      <c r="C10" s="203" t="s">
        <v>147</v>
      </c>
      <c r="D10" s="203"/>
      <c r="E10" s="179" t="s">
        <v>120</v>
      </c>
      <c r="F10" s="243">
        <f>IF(c_exp_vendor_id="","",VLOOKUP(c_exp_vendor_id,vendor_list,8,FALSE))</f>
        <v>98221133</v>
      </c>
      <c r="H10" s="205" t="s">
        <v>242</v>
      </c>
      <c r="I10" s="135" t="s">
        <v>120</v>
      </c>
      <c r="J10" s="128" t="str">
        <f>IF(c_rp_invoice_no="","",c_rp_invoice_no)</f>
        <v/>
      </c>
      <c r="K10" s="146"/>
      <c r="L10" s="146"/>
      <c r="M10" s="146"/>
      <c r="N10" s="350"/>
      <c r="O10" s="351"/>
      <c r="P10" s="226"/>
      <c r="V10" s="1680" t="s">
        <v>226</v>
      </c>
      <c r="W10" s="1681"/>
      <c r="X10" s="317"/>
    </row>
    <row r="11" spans="1:26" s="147" customFormat="1" ht="10.5" customHeight="1">
      <c r="A11" s="81"/>
      <c r="N11" s="316"/>
      <c r="O11" s="1709" t="s">
        <v>396</v>
      </c>
      <c r="P11" s="1723"/>
      <c r="Q11" s="1724"/>
      <c r="R11" s="1725"/>
      <c r="T11" s="1685" t="s">
        <v>223</v>
      </c>
      <c r="V11" s="336"/>
      <c r="W11" s="337"/>
      <c r="X11" s="317"/>
    </row>
    <row r="12" spans="1:26" s="147" customFormat="1" ht="27.75" customHeight="1">
      <c r="A12" s="81"/>
      <c r="B12" s="1714" t="s">
        <v>59</v>
      </c>
      <c r="C12" s="1715"/>
      <c r="D12" s="1682" t="s">
        <v>400</v>
      </c>
      <c r="E12" s="1682"/>
      <c r="F12" s="1682"/>
      <c r="G12" s="1682"/>
      <c r="H12" s="1714" t="s">
        <v>233</v>
      </c>
      <c r="I12" s="1715"/>
      <c r="J12" s="369" t="s">
        <v>228</v>
      </c>
      <c r="K12" s="163"/>
      <c r="L12" s="155"/>
      <c r="M12" s="155"/>
      <c r="N12" s="316"/>
      <c r="O12" s="1709"/>
      <c r="P12" s="1723"/>
      <c r="Q12" s="1726"/>
      <c r="R12" s="1727"/>
      <c r="T12" s="1685"/>
      <c r="V12" s="338" t="s">
        <v>225</v>
      </c>
      <c r="W12" s="339">
        <v>4019</v>
      </c>
      <c r="X12" s="317"/>
    </row>
    <row r="13" spans="1:26" s="147" customFormat="1" ht="20.25" customHeight="1">
      <c r="A13" s="81"/>
      <c r="B13" s="1716" t="s">
        <v>10</v>
      </c>
      <c r="C13" s="1717"/>
      <c r="D13" s="1683" t="s">
        <v>401</v>
      </c>
      <c r="E13" s="1683"/>
      <c r="F13" s="1683"/>
      <c r="G13" s="1683"/>
      <c r="H13" s="1716" t="s">
        <v>231</v>
      </c>
      <c r="I13" s="1717"/>
      <c r="J13" s="370" t="s">
        <v>232</v>
      </c>
      <c r="K13" s="164"/>
      <c r="L13" s="1686" t="s">
        <v>248</v>
      </c>
      <c r="M13" s="5"/>
      <c r="N13" s="316"/>
      <c r="O13" s="197"/>
      <c r="P13" s="226"/>
      <c r="Q13" s="1728"/>
      <c r="R13" s="1729"/>
      <c r="T13" s="1685" t="s">
        <v>224</v>
      </c>
      <c r="U13" s="224"/>
      <c r="V13" s="340"/>
      <c r="W13" s="341"/>
      <c r="X13" s="317"/>
    </row>
    <row r="14" spans="1:26" s="147" customFormat="1" ht="24.95" customHeight="1">
      <c r="A14" s="81"/>
      <c r="B14" s="1693">
        <v>1</v>
      </c>
      <c r="C14" s="1694"/>
      <c r="D14" s="127" t="str">
        <f>c_exp_description</f>
        <v>បាយ និងសាំង</v>
      </c>
      <c r="H14" s="1706">
        <f>IFERROR(IF(c_rp_amount_kh_paid="",0,c_rp_amount_kh_paid),"")</f>
        <v>0</v>
      </c>
      <c r="I14" s="1707"/>
      <c r="J14" s="371">
        <f>IFERROR(IF(c_exp_amount_en_paid="",0,c_exp_amount_en_paid),"")</f>
        <v>0</v>
      </c>
      <c r="L14" s="1686"/>
      <c r="M14" s="246"/>
      <c r="N14" s="316"/>
      <c r="O14" s="197"/>
      <c r="P14" s="226"/>
      <c r="Q14" s="1730"/>
      <c r="R14" s="1731"/>
      <c r="T14" s="1685"/>
      <c r="X14" s="317"/>
    </row>
    <row r="15" spans="1:26" s="147" customFormat="1" ht="24.95" customHeight="1">
      <c r="A15" s="81"/>
      <c r="B15" s="1693"/>
      <c r="C15" s="1694"/>
      <c r="D15" s="355" t="str">
        <f>IF(L15="","","-")</f>
        <v/>
      </c>
      <c r="E15" s="203" t="str">
        <f t="shared" ref="E15:E25" si="0">IFERROR(IF(L15="","",IF(MID(L15,4,100)=product_name_th,"",MID(L15,4,100))),"")</f>
        <v/>
      </c>
      <c r="F15" s="330"/>
      <c r="G15" s="330"/>
      <c r="H15" s="357"/>
      <c r="I15" s="358"/>
      <c r="J15" s="372"/>
      <c r="L15" s="354"/>
      <c r="N15" s="316"/>
      <c r="O15" s="197"/>
      <c r="P15" s="226"/>
      <c r="T15" s="311" t="s">
        <v>100</v>
      </c>
      <c r="U15" s="222" t="s">
        <v>120</v>
      </c>
      <c r="V15" s="352"/>
      <c r="W15" s="352"/>
      <c r="X15" s="317"/>
    </row>
    <row r="16" spans="1:26" s="147" customFormat="1" ht="24.95" customHeight="1">
      <c r="A16" s="198"/>
      <c r="B16" s="1693"/>
      <c r="C16" s="1694"/>
      <c r="D16" s="355" t="str">
        <f t="shared" ref="D16:D25" si="1">IF(L16="","","-")</f>
        <v/>
      </c>
      <c r="E16" s="203" t="str">
        <f t="shared" si="0"/>
        <v/>
      </c>
      <c r="F16" s="330"/>
      <c r="G16" s="330"/>
      <c r="H16" s="357"/>
      <c r="I16" s="358"/>
      <c r="J16" s="372"/>
      <c r="L16" s="354"/>
      <c r="N16" s="316"/>
      <c r="O16" s="225" t="s">
        <v>397</v>
      </c>
      <c r="P16" s="226" t="s">
        <v>120</v>
      </c>
      <c r="Q16" s="1720" t="s">
        <v>2259</v>
      </c>
      <c r="R16" s="1721"/>
      <c r="T16" s="1697"/>
      <c r="U16" s="1698"/>
      <c r="V16" s="1698"/>
      <c r="W16" s="1699"/>
      <c r="X16" s="317"/>
    </row>
    <row r="17" spans="1:24" s="147" customFormat="1" ht="24.95" customHeight="1">
      <c r="A17" s="199"/>
      <c r="B17" s="1693"/>
      <c r="C17" s="1694"/>
      <c r="D17" s="355" t="str">
        <f t="shared" si="1"/>
        <v/>
      </c>
      <c r="E17" s="203" t="str">
        <f t="shared" si="0"/>
        <v/>
      </c>
      <c r="F17" s="331"/>
      <c r="G17" s="192"/>
      <c r="H17" s="359"/>
      <c r="I17" s="360"/>
      <c r="J17" s="373"/>
      <c r="K17" s="67"/>
      <c r="L17" s="354"/>
      <c r="M17" s="4"/>
      <c r="N17" s="316"/>
      <c r="O17" s="225"/>
      <c r="P17" s="226"/>
      <c r="R17" s="201">
        <f>MID(Q16,1,1)*1</f>
        <v>0</v>
      </c>
      <c r="T17" s="1700"/>
      <c r="U17" s="1701"/>
      <c r="V17" s="1701"/>
      <c r="W17" s="1702"/>
      <c r="X17" s="318"/>
    </row>
    <row r="18" spans="1:24" s="147" customFormat="1" ht="24.95" customHeight="1">
      <c r="A18" s="200"/>
      <c r="B18" s="1693"/>
      <c r="C18" s="1694"/>
      <c r="D18" s="355" t="str">
        <f t="shared" si="1"/>
        <v/>
      </c>
      <c r="E18" s="203" t="str">
        <f t="shared" si="0"/>
        <v/>
      </c>
      <c r="F18" s="219"/>
      <c r="G18" s="219"/>
      <c r="H18" s="361"/>
      <c r="I18" s="362"/>
      <c r="J18" s="374"/>
      <c r="K18" s="247"/>
      <c r="L18" s="354"/>
      <c r="M18" s="232"/>
      <c r="N18" s="316"/>
      <c r="O18" s="353" t="s">
        <v>250</v>
      </c>
      <c r="P18" s="222" t="s">
        <v>120</v>
      </c>
      <c r="Q18" s="1718" t="s">
        <v>534</v>
      </c>
      <c r="R18" s="1719"/>
      <c r="T18" s="1700"/>
      <c r="U18" s="1701"/>
      <c r="V18" s="1701"/>
      <c r="W18" s="1702"/>
      <c r="X18" s="318"/>
    </row>
    <row r="19" spans="1:24" s="147" customFormat="1" ht="24.95" customHeight="1">
      <c r="A19" s="201"/>
      <c r="B19" s="1693"/>
      <c r="C19" s="1694"/>
      <c r="D19" s="355" t="str">
        <f t="shared" si="1"/>
        <v/>
      </c>
      <c r="E19" s="203" t="str">
        <f t="shared" si="0"/>
        <v/>
      </c>
      <c r="F19" s="332"/>
      <c r="G19" s="332"/>
      <c r="H19" s="363"/>
      <c r="I19" s="364"/>
      <c r="J19" s="372"/>
      <c r="L19" s="354"/>
      <c r="M19" s="233"/>
      <c r="N19" s="316"/>
      <c r="O19" s="197"/>
      <c r="T19" s="1703"/>
      <c r="U19" s="1704"/>
      <c r="V19" s="1704"/>
      <c r="W19" s="1705"/>
      <c r="X19" s="318"/>
    </row>
    <row r="20" spans="1:24" s="34" customFormat="1" ht="24.95" customHeight="1">
      <c r="A20" s="150"/>
      <c r="B20" s="1693"/>
      <c r="C20" s="1694"/>
      <c r="D20" s="355" t="str">
        <f t="shared" si="1"/>
        <v/>
      </c>
      <c r="E20" s="203" t="str">
        <f t="shared" si="0"/>
        <v/>
      </c>
      <c r="F20" s="203"/>
      <c r="G20" s="203"/>
      <c r="H20" s="365"/>
      <c r="I20" s="366"/>
      <c r="J20" s="375"/>
      <c r="K20" s="228"/>
      <c r="L20" s="354"/>
      <c r="M20" s="235"/>
      <c r="N20" s="319"/>
      <c r="O20" s="320"/>
      <c r="P20" s="321"/>
      <c r="Q20" s="322"/>
      <c r="R20" s="322"/>
      <c r="S20" s="322"/>
      <c r="T20" s="322"/>
      <c r="U20" s="322"/>
      <c r="V20" s="322"/>
      <c r="W20" s="322"/>
      <c r="X20" s="323"/>
    </row>
    <row r="21" spans="1:24" ht="24.95" customHeight="1">
      <c r="A21" s="150"/>
      <c r="B21" s="1693"/>
      <c r="C21" s="1694"/>
      <c r="D21" s="355" t="str">
        <f t="shared" si="1"/>
        <v/>
      </c>
      <c r="E21" s="203" t="str">
        <f t="shared" si="0"/>
        <v/>
      </c>
      <c r="F21" s="203"/>
      <c r="G21" s="203"/>
      <c r="H21" s="365"/>
      <c r="I21" s="366"/>
      <c r="J21" s="375"/>
      <c r="K21" s="228"/>
      <c r="L21" s="354"/>
      <c r="M21" s="235"/>
      <c r="O21" s="311" t="s">
        <v>399</v>
      </c>
    </row>
    <row r="22" spans="1:24" ht="24.95" customHeight="1">
      <c r="A22" s="150"/>
      <c r="B22" s="1693"/>
      <c r="C22" s="1694"/>
      <c r="D22" s="355" t="str">
        <f t="shared" si="1"/>
        <v/>
      </c>
      <c r="E22" s="203" t="str">
        <f t="shared" si="0"/>
        <v/>
      </c>
      <c r="F22" s="203"/>
      <c r="G22" s="203"/>
      <c r="H22" s="365"/>
      <c r="I22" s="366"/>
      <c r="J22" s="375"/>
      <c r="K22" s="228"/>
      <c r="L22" s="354"/>
      <c r="M22" s="235"/>
      <c r="N22" s="405"/>
      <c r="O22" s="1687" t="s">
        <v>1867</v>
      </c>
      <c r="P22" s="1687"/>
      <c r="Q22" s="1687"/>
      <c r="R22" s="1687"/>
      <c r="S22" s="1687"/>
      <c r="T22" s="1687"/>
      <c r="U22" s="1687"/>
      <c r="V22" s="1687"/>
      <c r="W22" s="1687"/>
      <c r="X22" s="1688"/>
    </row>
    <row r="23" spans="1:24" ht="24.95" customHeight="1">
      <c r="A23" s="150"/>
      <c r="B23" s="1693"/>
      <c r="C23" s="1694"/>
      <c r="D23" s="355" t="str">
        <f t="shared" si="1"/>
        <v/>
      </c>
      <c r="E23" s="203" t="str">
        <f t="shared" si="0"/>
        <v/>
      </c>
      <c r="F23" s="203"/>
      <c r="G23" s="203"/>
      <c r="H23" s="365"/>
      <c r="I23" s="366"/>
      <c r="J23" s="375"/>
      <c r="K23" s="228"/>
      <c r="L23" s="354"/>
      <c r="M23" s="235"/>
      <c r="N23" s="406"/>
      <c r="O23" s="1689"/>
      <c r="P23" s="1689"/>
      <c r="Q23" s="1689"/>
      <c r="R23" s="1689"/>
      <c r="S23" s="1689"/>
      <c r="T23" s="1689"/>
      <c r="U23" s="1689"/>
      <c r="V23" s="1689"/>
      <c r="W23" s="1689"/>
      <c r="X23" s="1690"/>
    </row>
    <row r="24" spans="1:24" ht="24.95" customHeight="1">
      <c r="A24" s="150"/>
      <c r="B24" s="1693"/>
      <c r="C24" s="1694"/>
      <c r="D24" s="355" t="str">
        <f t="shared" si="1"/>
        <v/>
      </c>
      <c r="E24" s="203" t="str">
        <f t="shared" si="0"/>
        <v/>
      </c>
      <c r="F24" s="203"/>
      <c r="G24" s="203"/>
      <c r="H24" s="365"/>
      <c r="I24" s="366"/>
      <c r="J24" s="375"/>
      <c r="K24" s="228"/>
      <c r="L24" s="354"/>
      <c r="M24" s="235"/>
      <c r="N24" s="406"/>
      <c r="O24" s="1689"/>
      <c r="P24" s="1689"/>
      <c r="Q24" s="1689"/>
      <c r="R24" s="1689"/>
      <c r="S24" s="1689"/>
      <c r="T24" s="1689"/>
      <c r="U24" s="1689"/>
      <c r="V24" s="1689"/>
      <c r="W24" s="1689"/>
      <c r="X24" s="1690"/>
    </row>
    <row r="25" spans="1:24" ht="24.95" customHeight="1">
      <c r="A25" s="150"/>
      <c r="B25" s="1695"/>
      <c r="C25" s="1696"/>
      <c r="D25" s="356" t="str">
        <f t="shared" si="1"/>
        <v/>
      </c>
      <c r="E25" s="333" t="str">
        <f t="shared" si="0"/>
        <v/>
      </c>
      <c r="F25" s="333"/>
      <c r="G25" s="333"/>
      <c r="H25" s="367"/>
      <c r="I25" s="368"/>
      <c r="J25" s="376"/>
      <c r="K25" s="228"/>
      <c r="L25" s="354"/>
      <c r="M25" s="235"/>
      <c r="N25" s="407"/>
      <c r="O25" s="1691"/>
      <c r="P25" s="1691"/>
      <c r="Q25" s="1691"/>
      <c r="R25" s="1691"/>
      <c r="S25" s="1691"/>
      <c r="T25" s="1691"/>
      <c r="U25" s="1691"/>
      <c r="V25" s="1691"/>
      <c r="W25" s="1691"/>
      <c r="X25" s="1692"/>
    </row>
    <row r="26" spans="1:24" ht="24" customHeight="1">
      <c r="A26" s="150"/>
      <c r="B26" s="204"/>
      <c r="C26" s="204"/>
      <c r="D26" s="204"/>
      <c r="E26" s="129"/>
      <c r="F26" s="129"/>
      <c r="G26" s="129"/>
      <c r="H26" s="234"/>
      <c r="I26" s="234"/>
      <c r="J26" s="228"/>
      <c r="K26" s="228"/>
      <c r="L26" s="147"/>
      <c r="M26" s="235"/>
    </row>
    <row r="27" spans="1:24" ht="24" customHeight="1">
      <c r="A27" s="150"/>
      <c r="B27" s="236"/>
      <c r="C27" s="236"/>
      <c r="D27" s="236"/>
      <c r="E27" s="187"/>
      <c r="F27" s="187"/>
      <c r="G27" s="187"/>
      <c r="H27" s="237"/>
      <c r="I27" s="237"/>
      <c r="J27" s="228"/>
      <c r="K27" s="238"/>
      <c r="L27" s="235"/>
      <c r="M27" s="235"/>
    </row>
    <row r="28" spans="1:24" ht="24" customHeight="1">
      <c r="A28" s="150"/>
      <c r="B28" s="236"/>
      <c r="C28" s="236"/>
      <c r="D28" s="236"/>
      <c r="E28" s="187"/>
      <c r="F28" s="187"/>
      <c r="G28" s="187"/>
      <c r="H28" s="237"/>
      <c r="I28" s="237"/>
      <c r="J28" s="228"/>
      <c r="K28" s="238"/>
      <c r="L28" s="235"/>
      <c r="M28" s="235"/>
    </row>
    <row r="29" spans="1:24" ht="24" customHeight="1">
      <c r="A29" s="150"/>
      <c r="B29" s="236"/>
      <c r="C29" s="236"/>
      <c r="D29" s="236"/>
      <c r="E29" s="187"/>
      <c r="F29" s="187"/>
      <c r="G29" s="187"/>
      <c r="H29" s="237"/>
      <c r="I29" s="237"/>
      <c r="J29" s="228"/>
      <c r="K29" s="238"/>
      <c r="L29" s="235"/>
      <c r="M29" s="235"/>
    </row>
    <row r="30" spans="1:24" ht="24" customHeight="1">
      <c r="B30" s="190"/>
      <c r="C30" s="190"/>
      <c r="D30" s="190"/>
      <c r="E30" s="180"/>
      <c r="F30" s="180"/>
      <c r="G30" s="189"/>
      <c r="I30" s="194"/>
      <c r="J30" s="191"/>
      <c r="K30" s="179"/>
      <c r="L30" s="239"/>
      <c r="M30" s="239"/>
    </row>
    <row r="31" spans="1:24" ht="24" customHeight="1">
      <c r="B31" s="176"/>
      <c r="C31" s="176"/>
      <c r="D31" s="176"/>
      <c r="E31" s="177"/>
      <c r="F31" s="177"/>
      <c r="G31" s="178"/>
      <c r="H31" s="248" t="str">
        <f>IF(Q16="","",MID(Q16,3,100))</f>
        <v>2.ផល​ ពិសិទ្ធ</v>
      </c>
      <c r="I31" s="194"/>
      <c r="J31" s="191"/>
      <c r="K31" s="179"/>
      <c r="L31" s="239"/>
      <c r="M31" s="239"/>
    </row>
    <row r="32" spans="1:24" ht="24" customHeight="1">
      <c r="E32" s="176"/>
      <c r="F32" s="156"/>
      <c r="G32"/>
      <c r="H32" s="129"/>
      <c r="I32" s="129"/>
      <c r="J32" s="191"/>
      <c r="K32" s="179"/>
      <c r="L32" s="239"/>
      <c r="M32" s="239"/>
    </row>
    <row r="33" spans="1:23" ht="24" customHeight="1">
      <c r="B33" s="176"/>
      <c r="C33" s="176"/>
      <c r="D33" s="176"/>
      <c r="E33" s="156"/>
      <c r="F33" s="156"/>
      <c r="G33"/>
      <c r="H33" s="129"/>
      <c r="I33" s="129"/>
      <c r="J33" s="191"/>
      <c r="K33" s="179"/>
      <c r="L33" s="239"/>
      <c r="M33" s="239"/>
    </row>
    <row r="34" spans="1:23" ht="24" customHeight="1">
      <c r="E34" s="158"/>
      <c r="F34" s="158"/>
      <c r="G34"/>
      <c r="H34" s="72"/>
      <c r="I34" s="72"/>
      <c r="J34"/>
      <c r="K34"/>
    </row>
    <row r="35" spans="1:23" s="133" customFormat="1" ht="24" customHeight="1">
      <c r="A35" s="81"/>
      <c r="B35"/>
      <c r="C35"/>
      <c r="D35"/>
      <c r="E35" s="158"/>
      <c r="F35" s="158"/>
      <c r="G35" s="5"/>
      <c r="H35" s="2"/>
      <c r="I35" s="2"/>
      <c r="J35"/>
      <c r="K35"/>
      <c r="L35"/>
      <c r="M35"/>
      <c r="N35" s="47"/>
      <c r="O35" s="139"/>
      <c r="P35" s="13"/>
      <c r="Q35"/>
      <c r="R35"/>
      <c r="S35"/>
      <c r="T35"/>
      <c r="U35"/>
      <c r="V35"/>
      <c r="W35"/>
    </row>
    <row r="36" spans="1:23" s="133" customFormat="1" ht="24" customHeight="1">
      <c r="A36" s="81"/>
      <c r="B36"/>
      <c r="C36"/>
      <c r="D36"/>
      <c r="E36" s="158"/>
      <c r="F36" s="158"/>
      <c r="G36" s="1684"/>
      <c r="H36" s="2"/>
      <c r="I36" s="2"/>
      <c r="J36"/>
      <c r="K36"/>
      <c r="L36"/>
      <c r="M36"/>
      <c r="N36" s="47"/>
      <c r="O36" s="139"/>
      <c r="P36" s="13"/>
      <c r="Q36"/>
      <c r="R36"/>
      <c r="S36"/>
      <c r="T36"/>
      <c r="U36"/>
      <c r="V36"/>
      <c r="W36"/>
    </row>
    <row r="37" spans="1:23" s="133" customFormat="1" ht="24" customHeight="1">
      <c r="A37" s="81"/>
      <c r="B37"/>
      <c r="C37"/>
      <c r="D37"/>
      <c r="E37" s="158"/>
      <c r="F37" s="158"/>
      <c r="G37" s="1684"/>
      <c r="H37" s="2"/>
      <c r="I37" s="2"/>
      <c r="J37"/>
      <c r="K37"/>
      <c r="L37"/>
      <c r="M37"/>
      <c r="N37" s="47"/>
      <c r="O37" s="139"/>
      <c r="P37" s="13"/>
      <c r="Q37"/>
      <c r="R37"/>
      <c r="S37"/>
      <c r="T37"/>
      <c r="U37"/>
      <c r="V37"/>
      <c r="W37"/>
    </row>
    <row r="38" spans="1:23" s="133" customFormat="1" ht="24" customHeight="1">
      <c r="A38" s="81"/>
      <c r="B38" s="157"/>
      <c r="C38" s="157"/>
      <c r="D38" s="157"/>
      <c r="E38" s="151"/>
      <c r="F38" s="151"/>
      <c r="G38" s="5"/>
      <c r="H38" s="2"/>
      <c r="I38" s="2"/>
      <c r="J38"/>
      <c r="K38"/>
      <c r="L38"/>
      <c r="M38"/>
      <c r="N38" s="47"/>
      <c r="O38" s="139"/>
      <c r="P38" s="13"/>
      <c r="Q38"/>
      <c r="R38"/>
      <c r="S38"/>
      <c r="T38"/>
      <c r="U38"/>
      <c r="V38"/>
      <c r="W38"/>
    </row>
    <row r="39" spans="1:23" s="133" customFormat="1" ht="24" customHeight="1">
      <c r="A39" s="81"/>
      <c r="B39" s="64"/>
      <c r="C39" s="64"/>
      <c r="D39" s="64"/>
      <c r="E39" s="64"/>
      <c r="F39" s="64"/>
      <c r="G39" s="64"/>
      <c r="H39" s="64"/>
      <c r="I39" s="64"/>
      <c r="J39"/>
      <c r="K39"/>
      <c r="L39"/>
      <c r="M39"/>
      <c r="N39" s="47"/>
      <c r="O39" s="139"/>
      <c r="P39" s="13"/>
      <c r="Q39"/>
      <c r="R39"/>
      <c r="S39"/>
      <c r="T39"/>
      <c r="U39"/>
      <c r="V39"/>
      <c r="W39"/>
    </row>
    <row r="40" spans="1:23" s="133" customFormat="1" ht="24" customHeight="1">
      <c r="A40" s="81"/>
      <c r="B40"/>
      <c r="C40"/>
      <c r="D40"/>
      <c r="E40" s="5"/>
      <c r="F40" s="5"/>
      <c r="G40" s="5"/>
      <c r="H40" s="2"/>
      <c r="I40" s="2"/>
      <c r="J40"/>
      <c r="K40"/>
      <c r="L40"/>
      <c r="M40"/>
      <c r="N40" s="47"/>
      <c r="O40" s="139"/>
      <c r="P40" s="13"/>
      <c r="Q40"/>
      <c r="R40"/>
      <c r="S40"/>
      <c r="T40"/>
      <c r="U40"/>
      <c r="V40"/>
      <c r="W40"/>
    </row>
    <row r="41" spans="1:23" s="133" customFormat="1" ht="24" customHeight="1">
      <c r="A41" s="81"/>
      <c r="B41"/>
      <c r="C41"/>
      <c r="D41"/>
      <c r="E41" s="5"/>
      <c r="F41" s="5"/>
      <c r="G41" s="5"/>
      <c r="H41" s="2"/>
      <c r="I41" s="2"/>
      <c r="J41" s="6"/>
      <c r="K41" s="6"/>
      <c r="L41" s="64"/>
      <c r="M41" s="64"/>
      <c r="N41" s="47"/>
      <c r="O41" s="139"/>
      <c r="P41" s="13"/>
      <c r="Q41"/>
      <c r="R41"/>
      <c r="S41"/>
      <c r="T41"/>
      <c r="U41"/>
      <c r="V41"/>
      <c r="W41"/>
    </row>
    <row r="42" spans="1:23" s="133" customFormat="1" ht="24" customHeight="1">
      <c r="A42" s="81"/>
      <c r="B42" s="5"/>
      <c r="C42" s="5"/>
      <c r="D42" s="5"/>
      <c r="E42" s="5"/>
      <c r="F42" s="5"/>
      <c r="G42" s="8"/>
      <c r="H42" s="8"/>
      <c r="I42" s="8"/>
      <c r="J42" s="6"/>
      <c r="K42" s="6"/>
      <c r="L42" s="5"/>
      <c r="M42" s="5"/>
      <c r="N42" s="47"/>
      <c r="O42" s="139"/>
      <c r="P42" s="13"/>
      <c r="Q42"/>
      <c r="R42"/>
      <c r="S42"/>
      <c r="T42"/>
      <c r="U42"/>
      <c r="V42"/>
      <c r="W42"/>
    </row>
    <row r="43" spans="1:23" s="133" customFormat="1" ht="24" customHeight="1">
      <c r="A43" s="81"/>
      <c r="B43" s="5"/>
      <c r="C43" s="5"/>
      <c r="D43" s="5"/>
      <c r="E43" s="5"/>
      <c r="F43" s="5"/>
      <c r="G43" s="5"/>
      <c r="H43" s="8"/>
      <c r="I43" s="8"/>
      <c r="J43" s="6"/>
      <c r="K43" s="6"/>
      <c r="L43" s="5"/>
      <c r="M43" s="5"/>
      <c r="N43" s="47"/>
      <c r="O43" s="139"/>
      <c r="P43" s="13"/>
      <c r="Q43"/>
      <c r="R43"/>
      <c r="S43"/>
      <c r="T43"/>
      <c r="U43"/>
      <c r="V43"/>
      <c r="W43"/>
    </row>
    <row r="44" spans="1:23" s="133" customFormat="1" ht="24" customHeight="1">
      <c r="A44" s="81"/>
      <c r="B44" s="5"/>
      <c r="C44" s="5"/>
      <c r="D44" s="5"/>
      <c r="E44" s="5"/>
      <c r="F44" s="5"/>
      <c r="G44" s="5"/>
      <c r="H44" s="8"/>
      <c r="I44" s="8"/>
      <c r="J44" s="6"/>
      <c r="K44" s="6"/>
      <c r="L44" s="5"/>
      <c r="M44" s="5"/>
      <c r="N44" s="47"/>
      <c r="O44" s="139"/>
      <c r="P44" s="13"/>
      <c r="Q44"/>
      <c r="R44"/>
      <c r="S44"/>
      <c r="T44"/>
      <c r="U44"/>
      <c r="V44"/>
      <c r="W44"/>
    </row>
    <row r="45" spans="1:23" ht="24" customHeight="1">
      <c r="B45" s="5"/>
      <c r="C45" s="5"/>
      <c r="D45" s="5"/>
      <c r="H45" s="8"/>
      <c r="I45" s="8"/>
      <c r="J45" s="6"/>
      <c r="K45" s="6"/>
      <c r="L45" s="5"/>
      <c r="M45" s="5"/>
    </row>
    <row r="46" spans="1:23" ht="24" customHeight="1">
      <c r="B46" s="5"/>
      <c r="C46" s="5"/>
      <c r="D46" s="5"/>
      <c r="H46" s="8"/>
      <c r="I46" s="8"/>
      <c r="J46" s="6"/>
      <c r="K46" s="6"/>
      <c r="L46" s="5"/>
      <c r="M46" s="5"/>
    </row>
    <row r="47" spans="1:23" ht="24" customHeight="1">
      <c r="B47" s="5"/>
      <c r="C47" s="5"/>
      <c r="D47" s="5"/>
      <c r="H47" s="8"/>
      <c r="I47" s="8"/>
      <c r="J47" s="6"/>
      <c r="K47" s="6"/>
      <c r="L47" s="5"/>
      <c r="M47" s="5"/>
    </row>
    <row r="48" spans="1:23" ht="24" customHeight="1">
      <c r="B48" s="5"/>
      <c r="C48" s="5"/>
      <c r="D48" s="5"/>
      <c r="H48" s="8"/>
      <c r="I48" s="8"/>
      <c r="J48" s="6"/>
      <c r="K48" s="6"/>
      <c r="L48" s="5"/>
      <c r="M48" s="5"/>
    </row>
    <row r="49" spans="2:13" ht="24" customHeight="1">
      <c r="B49" s="5"/>
      <c r="C49" s="5"/>
      <c r="D49" s="5"/>
      <c r="H49" s="8"/>
      <c r="I49" s="8"/>
      <c r="J49" s="6"/>
      <c r="K49" s="6"/>
      <c r="L49" s="5"/>
      <c r="M49" s="5"/>
    </row>
    <row r="50" spans="2:13" ht="24" customHeight="1">
      <c r="B50" s="5"/>
      <c r="C50" s="5"/>
      <c r="D50" s="5"/>
      <c r="H50" s="8"/>
      <c r="I50" s="8"/>
      <c r="J50" s="6"/>
      <c r="K50" s="6"/>
      <c r="L50" s="5"/>
      <c r="M50" s="5"/>
    </row>
    <row r="51" spans="2:13" ht="24" customHeight="1">
      <c r="B51" s="5"/>
      <c r="C51" s="5"/>
      <c r="D51" s="5"/>
      <c r="H51" s="8"/>
      <c r="I51" s="8"/>
      <c r="J51" s="6"/>
      <c r="K51" s="6"/>
      <c r="L51" s="5"/>
      <c r="M51" s="5"/>
    </row>
    <row r="52" spans="2:13" ht="24" customHeight="1">
      <c r="B52" s="5"/>
      <c r="C52" s="5"/>
      <c r="D52" s="5"/>
      <c r="H52" s="8"/>
      <c r="I52" s="8"/>
      <c r="J52" s="6"/>
      <c r="K52" s="6"/>
      <c r="L52" s="5"/>
      <c r="M52" s="5"/>
    </row>
    <row r="53" spans="2:13" ht="24" customHeight="1">
      <c r="B53" s="5"/>
      <c r="C53" s="5"/>
      <c r="D53" s="5"/>
      <c r="H53" s="8"/>
      <c r="I53" s="8"/>
      <c r="J53" s="6"/>
      <c r="K53" s="6"/>
      <c r="L53" s="5"/>
      <c r="M53" s="5"/>
    </row>
    <row r="54" spans="2:13" ht="24" customHeight="1">
      <c r="B54" s="5"/>
      <c r="C54" s="5"/>
      <c r="D54" s="5"/>
      <c r="H54" s="8"/>
      <c r="I54" s="8"/>
      <c r="J54" s="6"/>
      <c r="K54" s="6"/>
      <c r="L54" s="5"/>
      <c r="M54" s="5"/>
    </row>
    <row r="55" spans="2:13" ht="24" customHeight="1">
      <c r="B55" s="5"/>
      <c r="C55" s="5"/>
      <c r="D55" s="5"/>
      <c r="H55" s="8"/>
      <c r="I55" s="8"/>
      <c r="J55" s="6"/>
      <c r="K55" s="6"/>
      <c r="L55" s="5"/>
      <c r="M55" s="5"/>
    </row>
    <row r="56" spans="2:13" ht="24" customHeight="1">
      <c r="B56" s="5"/>
      <c r="C56" s="5"/>
      <c r="D56" s="5"/>
      <c r="H56" s="8"/>
      <c r="I56" s="8"/>
      <c r="J56" s="6"/>
      <c r="K56" s="6"/>
      <c r="L56" s="5"/>
      <c r="M56" s="5"/>
    </row>
    <row r="57" spans="2:13" ht="24" customHeight="1">
      <c r="B57" s="5"/>
      <c r="C57" s="5"/>
      <c r="D57" s="5"/>
      <c r="H57" s="8"/>
      <c r="I57" s="8"/>
      <c r="J57" s="6"/>
      <c r="K57" s="6"/>
      <c r="L57" s="5"/>
      <c r="M57" s="5"/>
    </row>
    <row r="58" spans="2:13" ht="24" customHeight="1">
      <c r="B58" s="5"/>
      <c r="C58" s="5"/>
      <c r="D58" s="5"/>
      <c r="H58" s="8"/>
      <c r="I58" s="8"/>
      <c r="J58" s="6"/>
      <c r="K58" s="6"/>
      <c r="L58" s="5"/>
      <c r="M58" s="5"/>
    </row>
    <row r="59" spans="2:13" ht="24" customHeight="1">
      <c r="B59" s="5"/>
      <c r="C59" s="5"/>
      <c r="D59" s="5"/>
      <c r="H59" s="8"/>
      <c r="I59" s="8"/>
      <c r="J59" s="6"/>
      <c r="K59" s="6"/>
      <c r="L59" s="5"/>
      <c r="M59" s="5"/>
    </row>
  </sheetData>
  <mergeCells count="24">
    <mergeCell ref="B14:C25"/>
    <mergeCell ref="T16:W19"/>
    <mergeCell ref="H14:I14"/>
    <mergeCell ref="B1:J1"/>
    <mergeCell ref="O11:O12"/>
    <mergeCell ref="O1:X2"/>
    <mergeCell ref="B12:C12"/>
    <mergeCell ref="B13:C13"/>
    <mergeCell ref="Q18:R18"/>
    <mergeCell ref="Q16:R16"/>
    <mergeCell ref="J4:J6"/>
    <mergeCell ref="H13:I13"/>
    <mergeCell ref="H12:I12"/>
    <mergeCell ref="P11:P12"/>
    <mergeCell ref="Q11:R12"/>
    <mergeCell ref="Q13:R14"/>
    <mergeCell ref="V10:W10"/>
    <mergeCell ref="D12:G12"/>
    <mergeCell ref="D13:G13"/>
    <mergeCell ref="G36:G37"/>
    <mergeCell ref="T11:T12"/>
    <mergeCell ref="T13:T14"/>
    <mergeCell ref="L13:L14"/>
    <mergeCell ref="O22:X25"/>
  </mergeCells>
  <dataValidations xWindow="183" yWindow="591" count="13">
    <dataValidation type="list" allowBlank="1" showInputMessage="1" showErrorMessage="1" sqref="Q18:R18" xr:uid="{206AAE31-115F-4C4E-BDF8-91C72BBC4CAA}">
      <formula1>module_type_option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Q3" xr:uid="{29256E5B-13EA-4E20-B417-6250FE82AB6C}">
      <formula1>1</formula1>
    </dataValidation>
    <dataValidation type="list" allowBlank="1" showInputMessage="1" showErrorMessage="1" sqref="Q16" xr:uid="{84E0592C-B04B-4424-BC28-F3FDBF66D074}">
      <formula1>saller_option</formula1>
    </dataValidation>
    <dataValidation type="whole" operator="greaterThanOrEqual" allowBlank="1" showInputMessage="1" showErrorMessage="1" sqref="Q7" xr:uid="{89EB3933-8836-4CC0-A21E-0C37D3B4C7C1}">
      <formula1>1</formula1>
    </dataValidation>
    <dataValidation type="list" allowBlank="1" showInputMessage="1" showErrorMessage="1" sqref="V4" xr:uid="{215434F7-1416-4157-86F5-F8058F896E8F}">
      <formula1>IF(R4="","",eow_1)</formula1>
    </dataValidation>
    <dataValidation type="list" allowBlank="1" showInputMessage="1" showErrorMessage="1" sqref="Q4" xr:uid="{12F1C70F-8737-4741-8B63-B3010DFC34B2}">
      <formula1>group_address_option</formula1>
    </dataValidation>
    <dataValidation type="whole" operator="greaterThanOrEqual" allowBlank="1" showInputMessage="1" showErrorMessage="1" error="បញ្ចូលបានតែលេខ, សូមព្យាយាមម្តងទៀត។" sqref="H20:I29" xr:uid="{349285AE-DE04-4519-9850-1BACDCA21452}">
      <formula1>0</formula1>
    </dataValidation>
    <dataValidation allowBlank="1" showInputMessage="1" showErrorMessage="1" prompt="Optional field: Purchase Order number from cumstomer, Sales Order issued by Company or other ref of trading." sqref="D12 B12" xr:uid="{CB486FE1-C7FF-4AFF-BE00-50C7D74DF955}"/>
    <dataValidation allowBlank="1" sqref="A20:A29" xr:uid="{574F4D22-4346-4CA9-A91D-927D267092E6}"/>
    <dataValidation type="list" allowBlank="1" showInputMessage="1" showErrorMessage="1" sqref="Q8" xr:uid="{EDE08879-04D4-4F30-9EDE-909E78EB163E}">
      <formula1>option_vendor</formula1>
    </dataValidation>
    <dataValidation type="list" allowBlank="1" showInputMessage="1" showErrorMessage="1" sqref="L15:M15 L16:L25" xr:uid="{E25E1804-0898-4996-8B3F-0EFE22663F7C}">
      <formula1>product_name_option</formula1>
    </dataValidation>
    <dataValidation type="list" allowBlank="1" showInputMessage="1" showErrorMessage="1" sqref="Q9" xr:uid="{43B5810F-B2CE-44AD-AF32-EC3074670489}">
      <formula1>member_option</formula1>
    </dataValidation>
    <dataValidation type="decimal" operator="greaterThanOrEqual" allowBlank="1" showInputMessage="1" showErrorMessage="1" error="បញ្ចូលបានលេខប៉ុណ្ណោះ​,​ សូមបញ្ចូលម្តងទៀត" sqref="Q11:R14" xr:uid="{1A09D252-CC68-42B0-A278-D1462C53EC89}">
      <formula1>0</formula1>
    </dataValidation>
  </dataValidations>
  <pageMargins left="3.937007874015748E-2" right="3.937007874015748E-2" top="3.937007874015748E-2" bottom="3.937007874015748E-2" header="0" footer="0"/>
  <pageSetup paperSize="11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3652" r:id="rId4" name="Button 4">
              <controlPr defaultSize="0" print="0" autoFill="0" autoPict="0" macro="[0]!CurrentDateOtherExpense">
                <anchor moveWithCells="1" sizeWithCells="1">
                  <from>
                    <xdr:col>22</xdr:col>
                    <xdr:colOff>47625</xdr:colOff>
                    <xdr:row>4</xdr:row>
                    <xdr:rowOff>342900</xdr:rowOff>
                  </from>
                  <to>
                    <xdr:col>23</xdr:col>
                    <xdr:colOff>142875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3" r:id="rId5" name="Button 5">
              <controlPr defaultSize="0" print="0" autoFill="0" autoPict="0" macro="[0]!ExchangeRateReceivePayment">
                <anchor moveWithCells="1" sizeWithCells="1">
                  <from>
                    <xdr:col>21</xdr:col>
                    <xdr:colOff>9525</xdr:colOff>
                    <xdr:row>11</xdr:row>
                    <xdr:rowOff>333375</xdr:rowOff>
                  </from>
                  <to>
                    <xdr:col>22</xdr:col>
                    <xdr:colOff>657225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4" r:id="rId6" name="Button 6">
              <controlPr defaultSize="0" print="0" autoFill="0" autoPict="0" macro="[0]!SaveOtherExpense">
                <anchor moveWithCells="1" sizeWithCells="1">
                  <from>
                    <xdr:col>21</xdr:col>
                    <xdr:colOff>1276350</xdr:colOff>
                    <xdr:row>0</xdr:row>
                    <xdr:rowOff>114300</xdr:rowOff>
                  </from>
                  <to>
                    <xdr:col>22</xdr:col>
                    <xdr:colOff>476250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1" r:id="rId7" name="Button 13">
              <controlPr defaultSize="0" print="0" autoFill="0" autoPict="0" macro="[0]!checkExistExpenseAmount">
                <anchor moveWithCells="1" sizeWithCells="1">
                  <from>
                    <xdr:col>14</xdr:col>
                    <xdr:colOff>19050</xdr:colOff>
                    <xdr:row>12</xdr:row>
                    <xdr:rowOff>85725</xdr:rowOff>
                  </from>
                  <to>
                    <xdr:col>15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4" r:id="rId8" name="Button 16">
              <controlPr defaultSize="0" print="0" autoFill="0" autoPict="0" macro="[0]!goToExpenseData">
                <anchor moveWithCells="1" sizeWithCells="1">
                  <from>
                    <xdr:col>14</xdr:col>
                    <xdr:colOff>9525</xdr:colOff>
                    <xdr:row>25</xdr:row>
                    <xdr:rowOff>142875</xdr:rowOff>
                  </from>
                  <to>
                    <xdr:col>16</xdr:col>
                    <xdr:colOff>285750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6" r:id="rId9" name="Button 18">
              <controlPr defaultSize="0" print="0" autoFill="0" autoPict="0" macro="[0]!goToHome" altText="ទំព័រដើម">
                <anchor moveWithCells="1" sizeWithCells="1">
                  <from>
                    <xdr:col>13</xdr:col>
                    <xdr:colOff>104775</xdr:colOff>
                    <xdr:row>0</xdr:row>
                    <xdr:rowOff>95250</xdr:rowOff>
                  </from>
                  <to>
                    <xdr:col>14</xdr:col>
                    <xdr:colOff>1076325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00B0F0"/>
  </sheetPr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N13" sqref="N13"/>
    </sheetView>
  </sheetViews>
  <sheetFormatPr defaultColWidth="8.7109375" defaultRowHeight="24.95" customHeight="1"/>
  <cols>
    <col min="1" max="1" width="0.85546875" style="145" customWidth="1"/>
    <col min="2" max="2" width="2.5703125" style="145" customWidth="1"/>
    <col min="3" max="3" width="7.85546875" style="126" customWidth="1"/>
    <col min="4" max="4" width="18.140625" style="126" customWidth="1"/>
    <col min="5" max="5" width="22.28515625" style="145" customWidth="1"/>
    <col min="6" max="6" width="18.85546875" style="145" customWidth="1"/>
    <col min="7" max="7" width="27" style="145" customWidth="1"/>
    <col min="8" max="8" width="40.42578125" style="145" customWidth="1"/>
    <col min="9" max="9" width="20.5703125" style="890" customWidth="1"/>
    <col min="10" max="10" width="27.42578125" style="243" customWidth="1"/>
    <col min="11" max="11" width="38.42578125" style="889" bestFit="1" customWidth="1"/>
    <col min="12" max="13" width="24.7109375" style="889" customWidth="1"/>
    <col min="14" max="14" width="21.85546875" style="892" bestFit="1" customWidth="1"/>
    <col min="15" max="15" width="18.28515625" style="892" customWidth="1"/>
    <col min="16" max="16" width="14.5703125" style="425" bestFit="1" customWidth="1"/>
    <col min="17" max="17" width="35.5703125" style="880" bestFit="1" customWidth="1"/>
    <col min="18" max="18" width="19.7109375" style="145" customWidth="1"/>
    <col min="19" max="16384" width="8.7109375" style="145"/>
  </cols>
  <sheetData>
    <row r="1" spans="3:18" ht="30" customHeight="1"/>
    <row r="3" spans="3:18" ht="29.25" customHeight="1">
      <c r="C3" s="304" t="s">
        <v>59</v>
      </c>
      <c r="D3" s="305" t="s">
        <v>144</v>
      </c>
      <c r="E3" s="305" t="s">
        <v>241</v>
      </c>
      <c r="F3" s="305" t="s">
        <v>1071</v>
      </c>
      <c r="G3" s="305" t="s">
        <v>107</v>
      </c>
      <c r="H3" s="305" t="s">
        <v>411</v>
      </c>
      <c r="I3" s="893" t="s">
        <v>145</v>
      </c>
      <c r="J3" s="893" t="s">
        <v>146</v>
      </c>
      <c r="K3" s="893" t="s">
        <v>147</v>
      </c>
      <c r="L3" s="893" t="s">
        <v>879</v>
      </c>
      <c r="M3" s="893" t="s">
        <v>101</v>
      </c>
      <c r="N3" s="893" t="s">
        <v>1891</v>
      </c>
      <c r="O3" s="893" t="s">
        <v>252</v>
      </c>
      <c r="P3" s="893" t="s">
        <v>264</v>
      </c>
      <c r="Q3" s="881"/>
    </row>
    <row r="4" spans="3:18" s="154" customFormat="1" ht="20.25" customHeight="1">
      <c r="C4" s="879" t="s">
        <v>1892</v>
      </c>
      <c r="D4" s="879" t="s">
        <v>1893</v>
      </c>
      <c r="E4" s="879" t="s">
        <v>1908</v>
      </c>
      <c r="F4" s="879" t="s">
        <v>523</v>
      </c>
      <c r="G4" s="879" t="s">
        <v>211</v>
      </c>
      <c r="H4" s="879" t="s">
        <v>1894</v>
      </c>
      <c r="I4" s="894" t="s">
        <v>413</v>
      </c>
      <c r="J4" s="894" t="s">
        <v>1909</v>
      </c>
      <c r="K4" s="894" t="s">
        <v>30</v>
      </c>
      <c r="L4" s="894" t="s">
        <v>871</v>
      </c>
      <c r="M4" s="894" t="s">
        <v>104</v>
      </c>
      <c r="N4" s="894" t="s">
        <v>2664</v>
      </c>
      <c r="O4" s="894" t="s">
        <v>1895</v>
      </c>
      <c r="P4" s="894" t="s">
        <v>212</v>
      </c>
      <c r="Q4" s="772"/>
    </row>
    <row r="5" spans="3:18" ht="23.25">
      <c r="C5" s="126">
        <v>1</v>
      </c>
      <c r="D5" s="126" t="s">
        <v>1913</v>
      </c>
      <c r="E5" s="145" t="s">
        <v>140</v>
      </c>
      <c r="F5" s="145" t="s">
        <v>1897</v>
      </c>
      <c r="G5" s="869" t="s">
        <v>141</v>
      </c>
      <c r="H5" s="145" t="s">
        <v>140</v>
      </c>
      <c r="I5" s="890" t="s">
        <v>1914</v>
      </c>
      <c r="K5" s="889" t="s">
        <v>2430</v>
      </c>
      <c r="L5" s="889" t="s">
        <v>1911</v>
      </c>
      <c r="M5" s="889" t="s">
        <v>1912</v>
      </c>
      <c r="N5" s="892" t="s">
        <v>1915</v>
      </c>
      <c r="O5" s="892">
        <f>IF(SUMIF(SaleInvoiceData!$L$6:$L$5000,C5,SaleInvoiceData!$AA$6:$AA$5000)*1&gt;0,SUMIF(SaleInvoiceData!$L$6:$L$5000,C5,SaleInvoiceData!$AA$6:$AA$5000),0)</f>
        <v>0</v>
      </c>
      <c r="P5" s="425">
        <v>1</v>
      </c>
      <c r="Q5" s="880" t="s">
        <v>1916</v>
      </c>
    </row>
    <row r="6" spans="3:18" ht="45">
      <c r="C6" s="126">
        <v>2</v>
      </c>
      <c r="D6" s="126" t="s">
        <v>1910</v>
      </c>
      <c r="E6" s="145" t="s">
        <v>143</v>
      </c>
      <c r="F6" s="145" t="s">
        <v>1896</v>
      </c>
      <c r="G6" s="869" t="s">
        <v>1917</v>
      </c>
      <c r="H6" s="145" t="s">
        <v>143</v>
      </c>
      <c r="I6" s="890" t="s">
        <v>1791</v>
      </c>
      <c r="J6" s="891"/>
      <c r="K6" s="889" t="s">
        <v>1918</v>
      </c>
      <c r="L6" s="889" t="s">
        <v>1919</v>
      </c>
      <c r="M6" s="889" t="s">
        <v>1920</v>
      </c>
      <c r="N6" s="892" t="s">
        <v>1939</v>
      </c>
      <c r="O6" s="892">
        <f>IF(SUMIF(SaleInvoiceData!$L$6:$L$5000,C6,SaleInvoiceData!$AA$6:$AA$5000)*1&gt;0,SUMIF(SaleInvoiceData!$L$6:$L$5000,C6,SaleInvoiceData!$AA$6:$AA$5000),0)</f>
        <v>0</v>
      </c>
      <c r="P6" s="425">
        <v>1</v>
      </c>
      <c r="Q6" s="880" t="s">
        <v>1921</v>
      </c>
    </row>
    <row r="7" spans="3:18" ht="23.25">
      <c r="C7" s="126">
        <v>3</v>
      </c>
      <c r="D7" s="126" t="s">
        <v>1922</v>
      </c>
      <c r="E7" s="145" t="s">
        <v>1923</v>
      </c>
      <c r="F7" s="145" t="s">
        <v>1924</v>
      </c>
      <c r="G7" s="869" t="s">
        <v>1925</v>
      </c>
      <c r="H7" s="145" t="s">
        <v>1923</v>
      </c>
      <c r="I7" s="890" t="s">
        <v>1926</v>
      </c>
      <c r="J7" s="243" t="s">
        <v>1927</v>
      </c>
      <c r="K7" s="889" t="s">
        <v>2431</v>
      </c>
      <c r="L7" s="889" t="s">
        <v>1928</v>
      </c>
      <c r="N7" s="892" t="s">
        <v>1940</v>
      </c>
      <c r="O7" s="892">
        <f>IF(SUMIF(SaleInvoiceData!$L$6:$L$5000,C7,SaleInvoiceData!$AA$6:$AA$5000)*1&gt;0,SUMIF(SaleInvoiceData!$L$6:$L$5000,C7,SaleInvoiceData!$AA$6:$AA$5000),0)</f>
        <v>0</v>
      </c>
      <c r="P7" s="425">
        <v>1</v>
      </c>
      <c r="Q7" s="880" t="s">
        <v>1929</v>
      </c>
    </row>
    <row r="8" spans="3:18" ht="45">
      <c r="C8" s="126">
        <v>4</v>
      </c>
      <c r="D8" s="126" t="s">
        <v>2275</v>
      </c>
      <c r="E8" s="145" t="s">
        <v>2278</v>
      </c>
      <c r="F8" s="145" t="s">
        <v>1924</v>
      </c>
      <c r="G8" s="869" t="s">
        <v>2276</v>
      </c>
      <c r="H8" s="145" t="s">
        <v>2276</v>
      </c>
      <c r="I8" s="890" t="s">
        <v>1791</v>
      </c>
      <c r="K8" s="889" t="s">
        <v>1918</v>
      </c>
      <c r="O8" s="892">
        <f>IF(SUMIF(SaleInvoiceData!$J$6:$J$10000,C8,SaleInvoiceData!$S$6:$S$10000)*1&gt;0,SUMIF(SaleInvoiceData!$J$6:$J$10000,C8,SaleInvoiceData!$S$6:$S$10000),0)</f>
        <v>0</v>
      </c>
      <c r="P8" s="425">
        <v>1</v>
      </c>
      <c r="Q8" s="880" t="s">
        <v>2277</v>
      </c>
    </row>
    <row r="9" spans="3:18" ht="45">
      <c r="C9" s="126">
        <v>5</v>
      </c>
      <c r="D9" s="126" t="s">
        <v>2279</v>
      </c>
      <c r="E9" s="145" t="s">
        <v>2280</v>
      </c>
      <c r="F9" s="145" t="s">
        <v>1924</v>
      </c>
      <c r="G9" s="869" t="s">
        <v>2281</v>
      </c>
      <c r="H9" s="145" t="s">
        <v>2280</v>
      </c>
      <c r="I9" s="890" t="s">
        <v>2282</v>
      </c>
      <c r="J9" s="891"/>
      <c r="K9" s="889" t="s">
        <v>1918</v>
      </c>
      <c r="L9" s="889" t="s">
        <v>2283</v>
      </c>
      <c r="O9" s="892">
        <f>IF(SUMIF(SaleInvoiceData!$J$6:$J$10000,C9,SaleInvoiceData!$S$6:$S$10000)*1&gt;0,SUMIF(SaleInvoiceData!$J$6:$J$10000,C9,SaleInvoiceData!$S$6:$S$10000),0)</f>
        <v>0</v>
      </c>
      <c r="P9" s="425">
        <v>1</v>
      </c>
      <c r="Q9" s="880" t="s">
        <v>2284</v>
      </c>
    </row>
    <row r="10" spans="3:18" ht="23.25">
      <c r="C10" s="126">
        <v>6</v>
      </c>
      <c r="D10" s="126" t="s">
        <v>2285</v>
      </c>
      <c r="E10" s="145" t="s">
        <v>2286</v>
      </c>
      <c r="F10" s="145" t="s">
        <v>2287</v>
      </c>
      <c r="G10" s="869" t="s">
        <v>2288</v>
      </c>
      <c r="H10" s="145" t="s">
        <v>2286</v>
      </c>
      <c r="I10" s="890" t="s">
        <v>1791</v>
      </c>
      <c r="K10" s="889" t="s">
        <v>2432</v>
      </c>
      <c r="O10" s="892">
        <f>IF(SUMIF(SaleInvoiceData!$J$6:$J$10000,C10,SaleInvoiceData!$S$6:$S$10000)*1&gt;0,SUMIF(SaleInvoiceData!$J$6:$J$10000,C10,SaleInvoiceData!$S$6:$S$10000),0)</f>
        <v>0</v>
      </c>
      <c r="P10" s="425">
        <v>1</v>
      </c>
      <c r="Q10" s="880" t="s">
        <v>2289</v>
      </c>
    </row>
    <row r="11" spans="3:18" ht="45">
      <c r="C11" s="126">
        <v>7</v>
      </c>
      <c r="D11" s="126" t="s">
        <v>2290</v>
      </c>
      <c r="E11" s="145" t="s">
        <v>2291</v>
      </c>
      <c r="F11" s="145" t="s">
        <v>2287</v>
      </c>
      <c r="G11" s="869" t="s">
        <v>2292</v>
      </c>
      <c r="H11" s="145" t="s">
        <v>2291</v>
      </c>
      <c r="I11" s="890" t="s">
        <v>1791</v>
      </c>
      <c r="K11" s="889" t="s">
        <v>1918</v>
      </c>
      <c r="O11" s="892">
        <f>IF(SUMIF(SaleInvoiceData!$J$6:$J$10000,C11,SaleInvoiceData!$S$6:$S$10000)*1&gt;0,SUMIF(SaleInvoiceData!$J$6:$J$10000,C11,SaleInvoiceData!$S$6:$S$10000),0)</f>
        <v>0</v>
      </c>
      <c r="P11" s="425">
        <v>1</v>
      </c>
      <c r="Q11" s="880" t="s">
        <v>2293</v>
      </c>
    </row>
    <row r="12" spans="3:18" ht="23.25">
      <c r="C12" s="126">
        <v>8</v>
      </c>
      <c r="D12" s="126" t="s">
        <v>2294</v>
      </c>
      <c r="E12" s="145" t="s">
        <v>2295</v>
      </c>
      <c r="F12" s="145" t="s">
        <v>2287</v>
      </c>
      <c r="G12" s="869" t="s">
        <v>2296</v>
      </c>
      <c r="H12" s="145" t="s">
        <v>2295</v>
      </c>
      <c r="I12" s="890" t="s">
        <v>1791</v>
      </c>
      <c r="K12" s="889" t="s">
        <v>2433</v>
      </c>
      <c r="O12" s="892">
        <f>IF(SUMIF(SaleInvoiceData!$J$6:$J$10000,C12,SaleInvoiceData!$S$6:$S$10000)*1&gt;0,SUMIF(SaleInvoiceData!$J$6:$J$10000,C12,SaleInvoiceData!$S$6:$S$10000),0)</f>
        <v>0</v>
      </c>
      <c r="P12" s="425">
        <v>1</v>
      </c>
      <c r="Q12" s="880" t="s">
        <v>2297</v>
      </c>
      <c r="R12" s="870"/>
    </row>
    <row r="13" spans="3:18" ht="45">
      <c r="C13" s="126">
        <v>9</v>
      </c>
      <c r="D13" s="126" t="s">
        <v>2298</v>
      </c>
      <c r="E13" s="145" t="s">
        <v>2299</v>
      </c>
      <c r="F13" s="145" t="s">
        <v>2300</v>
      </c>
      <c r="G13" s="869" t="s">
        <v>2301</v>
      </c>
      <c r="H13" s="145" t="s">
        <v>2299</v>
      </c>
      <c r="I13" s="890" t="s">
        <v>2302</v>
      </c>
      <c r="K13" s="889" t="s">
        <v>1918</v>
      </c>
      <c r="O13" s="892">
        <f>IF(SUMIF(SaleInvoiceData!$J$6:$J$10000,C13,SaleInvoiceData!$S$6:$S$10000)*1&gt;0,SUMIF(SaleInvoiceData!$J$6:$J$10000,C13,SaleInvoiceData!$S$6:$S$10000),0)</f>
        <v>0</v>
      </c>
      <c r="P13" s="425">
        <v>1</v>
      </c>
      <c r="Q13" s="880" t="s">
        <v>2303</v>
      </c>
    </row>
    <row r="14" spans="3:18" ht="45">
      <c r="C14" s="126">
        <v>10</v>
      </c>
      <c r="D14" s="126" t="s">
        <v>2304</v>
      </c>
      <c r="E14" s="145" t="s">
        <v>2305</v>
      </c>
      <c r="F14" s="145" t="s">
        <v>1924</v>
      </c>
      <c r="G14" s="869" t="s">
        <v>2306</v>
      </c>
      <c r="H14" s="145" t="s">
        <v>2305</v>
      </c>
      <c r="I14" s="895" t="s">
        <v>2307</v>
      </c>
      <c r="K14" s="889" t="s">
        <v>1918</v>
      </c>
      <c r="O14" s="892">
        <f>IF(SUMIF(SaleInvoiceData!$J$6:$J$10000,C14,SaleInvoiceData!$S$6:$S$10000)*1&gt;0,SUMIF(SaleInvoiceData!$J$6:$J$10000,C14,SaleInvoiceData!$S$6:$S$10000),0)</f>
        <v>0</v>
      </c>
      <c r="P14" s="425">
        <v>1</v>
      </c>
      <c r="Q14" s="880" t="s">
        <v>2308</v>
      </c>
    </row>
    <row r="15" spans="3:18" ht="24.95" customHeight="1">
      <c r="G15" s="869"/>
    </row>
    <row r="16" spans="3:18" ht="24.95" customHeight="1">
      <c r="G16" s="869"/>
    </row>
    <row r="17" spans="7:18" ht="24.95" customHeight="1">
      <c r="G17" s="869"/>
    </row>
    <row r="18" spans="7:18" ht="24.95" customHeight="1">
      <c r="G18" s="869"/>
    </row>
    <row r="19" spans="7:18" ht="24.95" customHeight="1">
      <c r="G19" s="869"/>
    </row>
    <row r="20" spans="7:18" ht="24.95" customHeight="1">
      <c r="G20" s="869"/>
    </row>
    <row r="21" spans="7:18" ht="24.95" customHeight="1">
      <c r="G21" s="869"/>
      <c r="J21" s="896"/>
    </row>
    <row r="22" spans="7:18" ht="24.95" customHeight="1">
      <c r="G22" s="869"/>
    </row>
    <row r="23" spans="7:18" ht="24.95" customHeight="1">
      <c r="G23" s="869"/>
    </row>
    <row r="24" spans="7:18" ht="24.95" customHeight="1">
      <c r="G24" s="869"/>
      <c r="R24" s="152"/>
    </row>
    <row r="25" spans="7:18" ht="24.95" customHeight="1">
      <c r="G25" s="869"/>
      <c r="R25" s="152"/>
    </row>
    <row r="26" spans="7:18" ht="24.95" customHeight="1">
      <c r="G26" s="869"/>
      <c r="R26" s="871"/>
    </row>
    <row r="27" spans="7:18" ht="24.95" customHeight="1">
      <c r="G27" s="869"/>
      <c r="R27" s="152"/>
    </row>
    <row r="28" spans="7:18" ht="24.95" customHeight="1">
      <c r="G28" s="869"/>
      <c r="R28" s="152"/>
    </row>
    <row r="29" spans="7:18" ht="24.95" customHeight="1">
      <c r="G29" s="869"/>
      <c r="R29" s="152"/>
    </row>
    <row r="30" spans="7:18" ht="24.95" customHeight="1">
      <c r="G30" s="869"/>
      <c r="R30" s="152"/>
    </row>
    <row r="31" spans="7:18" ht="24.95" customHeight="1">
      <c r="G31" s="869"/>
      <c r="R31" s="152"/>
    </row>
    <row r="32" spans="7:18" ht="24.95" customHeight="1">
      <c r="G32" s="869"/>
      <c r="J32" s="896"/>
      <c r="R32" s="152"/>
    </row>
    <row r="33" spans="7:7" ht="24.95" customHeight="1">
      <c r="G33" s="869"/>
    </row>
    <row r="34" spans="7:7" ht="24.95" customHeight="1">
      <c r="G34" s="869"/>
    </row>
    <row r="35" spans="7:7" ht="24.95" customHeight="1">
      <c r="G35" s="869"/>
    </row>
    <row r="36" spans="7:7" ht="24.95" customHeight="1">
      <c r="G36" s="869"/>
    </row>
    <row r="37" spans="7:7" ht="24.95" customHeight="1">
      <c r="G37" s="869"/>
    </row>
    <row r="38" spans="7:7" ht="24.95" customHeight="1">
      <c r="G38" s="869"/>
    </row>
    <row r="39" spans="7:7" ht="24.95" customHeight="1">
      <c r="G39" s="869"/>
    </row>
    <row r="40" spans="7:7" ht="24.95" customHeight="1">
      <c r="G40" s="869"/>
    </row>
    <row r="42" spans="7:7" ht="24.95" customHeight="1">
      <c r="G42" s="869"/>
    </row>
    <row r="43" spans="7:7" ht="24.95" customHeight="1">
      <c r="G43" s="869"/>
    </row>
    <row r="70" spans="10:10" ht="24.95" customHeight="1">
      <c r="J70" s="891"/>
    </row>
    <row r="73" spans="10:10" ht="24.95" customHeight="1">
      <c r="J73" s="891"/>
    </row>
    <row r="94" spans="10:10" ht="24.95" customHeight="1">
      <c r="J94" s="891"/>
    </row>
    <row r="109" spans="10:10" ht="24.95" customHeight="1">
      <c r="J109" s="891"/>
    </row>
    <row r="110" spans="10:10" ht="24.95" customHeight="1">
      <c r="J110" s="891"/>
    </row>
    <row r="114" spans="7:7" ht="23.25"/>
    <row r="125" spans="7:7" ht="24.95" customHeight="1">
      <c r="G125" s="869"/>
    </row>
  </sheetData>
  <sortState xmlns:xlrd2="http://schemas.microsoft.com/office/spreadsheetml/2017/richdata2" ref="D6:K18">
    <sortCondition ref="D5:D18"/>
  </sortState>
  <phoneticPr fontId="37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5523" r:id="rId4" name="Button 3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0</xdr:row>
                    <xdr:rowOff>85725</xdr:rowOff>
                  </from>
                  <to>
                    <xdr:col>3</xdr:col>
                    <xdr:colOff>609600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25" r:id="rId5" name="Button 5">
              <controlPr defaultSize="0" print="0" autoFill="0" autoPict="0" macro="[0]!ResetFilters">
                <anchor moveWithCells="1" sizeWithCells="1">
                  <from>
                    <xdr:col>16</xdr:col>
                    <xdr:colOff>76200</xdr:colOff>
                    <xdr:row>1</xdr:row>
                    <xdr:rowOff>304800</xdr:rowOff>
                  </from>
                  <to>
                    <xdr:col>16</xdr:col>
                    <xdr:colOff>1276350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26" r:id="rId6" name="Button 6">
              <controlPr defaultSize="0" print="0" autoFill="0" autoPict="0" macro="[0]!btnAddCustomer">
                <anchor moveWithCells="1" sizeWithCells="1">
                  <from>
                    <xdr:col>3</xdr:col>
                    <xdr:colOff>714375</xdr:colOff>
                    <xdr:row>0</xdr:row>
                    <xdr:rowOff>95250</xdr:rowOff>
                  </from>
                  <to>
                    <xdr:col>3</xdr:col>
                    <xdr:colOff>1181100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>
    <tabColor rgb="FF92D050"/>
  </sheetPr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Y6" sqref="Y6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3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758" t="s">
        <v>227</v>
      </c>
      <c r="C1" s="1758"/>
      <c r="D1" s="1758"/>
      <c r="E1" s="1758"/>
      <c r="F1" s="1758"/>
      <c r="G1" s="1758"/>
      <c r="H1" s="1758"/>
      <c r="I1" s="1758"/>
      <c r="J1" s="1758"/>
      <c r="K1" s="1758"/>
      <c r="M1" s="569"/>
      <c r="N1" s="1759" t="s">
        <v>222</v>
      </c>
      <c r="O1" s="1759"/>
      <c r="P1" s="1759"/>
      <c r="Q1" s="1759"/>
      <c r="R1" s="1759"/>
      <c r="S1" s="1759"/>
      <c r="T1" s="1759"/>
      <c r="U1" s="1759"/>
      <c r="V1" s="1759"/>
      <c r="W1" s="1760"/>
    </row>
    <row r="2" spans="1:28" ht="11.25" customHeight="1">
      <c r="B2" s="307"/>
      <c r="C2" s="307"/>
      <c r="D2" s="307"/>
      <c r="E2" s="307"/>
      <c r="F2" s="307"/>
      <c r="G2" s="307"/>
      <c r="H2" s="307"/>
      <c r="I2" s="307"/>
      <c r="J2" s="307"/>
      <c r="K2" s="307"/>
      <c r="M2" s="577"/>
      <c r="N2" s="602"/>
      <c r="O2" s="602"/>
      <c r="P2" s="602"/>
      <c r="Q2" s="602"/>
      <c r="R2" s="602"/>
      <c r="S2" s="602"/>
      <c r="T2" s="602"/>
      <c r="U2" s="602"/>
      <c r="V2" s="602"/>
      <c r="W2" s="603"/>
    </row>
    <row r="3" spans="1:28" ht="24" customHeight="1">
      <c r="B3" s="569"/>
      <c r="C3" s="570"/>
      <c r="D3" s="571"/>
      <c r="E3" s="572"/>
      <c r="F3" s="573"/>
      <c r="G3" s="574"/>
      <c r="H3" s="575"/>
      <c r="I3" s="575"/>
      <c r="J3" s="546"/>
      <c r="K3" s="576"/>
      <c r="M3" s="577"/>
      <c r="N3" s="604"/>
      <c r="O3" s="604"/>
      <c r="P3" s="604"/>
      <c r="Q3" s="604"/>
      <c r="R3" s="604"/>
      <c r="S3" s="604"/>
      <c r="T3" s="604"/>
      <c r="U3" s="604"/>
      <c r="V3" s="604"/>
      <c r="W3" s="605"/>
      <c r="Y3" s="326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577"/>
      <c r="C4" s="3"/>
      <c r="E4" s="3"/>
      <c r="F4" s="52"/>
      <c r="G4" s="149"/>
      <c r="H4" s="162"/>
      <c r="I4" s="162"/>
      <c r="K4" s="578"/>
      <c r="L4" s="211"/>
      <c r="M4" s="606"/>
      <c r="N4" s="311" t="s">
        <v>214</v>
      </c>
      <c r="O4" s="226"/>
      <c r="P4" s="564">
        <v>14</v>
      </c>
      <c r="S4" s="311" t="s">
        <v>264</v>
      </c>
      <c r="T4" s="222"/>
      <c r="U4" s="642" t="str">
        <f>IF(oic_status=-1,"Edit",IF(oic_status=1,"Issue",IF(oic_status=2,"Fullfilied",IF(oic_status=3,"Partial",1))))</f>
        <v>Issue</v>
      </c>
      <c r="V4" s="643">
        <v>1</v>
      </c>
      <c r="W4" s="536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577"/>
      <c r="K5" s="578"/>
      <c r="L5" s="211"/>
      <c r="M5" s="606"/>
      <c r="N5" s="311" t="s">
        <v>381</v>
      </c>
      <c r="O5" s="226"/>
      <c r="P5" s="479" t="s">
        <v>267</v>
      </c>
      <c r="Q5" s="277">
        <f>MID(P5,1,2)*1</f>
        <v>1</v>
      </c>
      <c r="S5" s="311" t="s">
        <v>379</v>
      </c>
      <c r="T5" s="222"/>
      <c r="U5" s="1734" t="s">
        <v>1815</v>
      </c>
      <c r="V5" s="1734"/>
      <c r="W5" s="536"/>
      <c r="Y5" s="342" t="str">
        <f>IF(oic_option_income_type&lt;&gt;"","លេខទូរស័ព្ទ ៖ "&amp;VLOOKUP(MID(oic_option_income_type,1,2)*1,branch_list,11,FALSE),"")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577"/>
      <c r="K6" s="578"/>
      <c r="L6" s="214"/>
      <c r="M6" s="607"/>
      <c r="O6" s="226"/>
      <c r="Q6" s="81"/>
      <c r="S6" s="608" t="s">
        <v>128</v>
      </c>
      <c r="T6" s="609"/>
      <c r="U6" s="415" t="e">
        <f>VLOOKUP(oic_invoice_no,sale_invoice_data_list,2,FALSE)</f>
        <v>#N/A</v>
      </c>
      <c r="V6" s="81"/>
      <c r="W6" s="536"/>
      <c r="Y6" s="129" t="str">
        <f>IF(oic_option_income_type&lt;&gt;"",VLOOKUP(MID(oic_option_income_type,1,2)*1,branch_list,6,FALSE),"")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577"/>
      <c r="C7" s="541"/>
      <c r="D7" s="542"/>
      <c r="E7" s="543"/>
      <c r="F7" s="543"/>
      <c r="G7" s="544"/>
      <c r="H7" s="545"/>
      <c r="I7" s="545"/>
      <c r="J7" s="546"/>
      <c r="K7" s="578"/>
      <c r="L7" s="214"/>
      <c r="M7" s="607"/>
      <c r="N7" s="1742" t="s">
        <v>370</v>
      </c>
      <c r="O7" s="1723"/>
      <c r="Q7" s="209" t="str">
        <f>IFERROR(IF(AND(P16&lt;&gt;"",P16&gt;0),"("&amp;P16&amp;")",""),"")</f>
        <v>(990)</v>
      </c>
      <c r="S7" s="1709" t="s">
        <v>380</v>
      </c>
      <c r="T7" s="1761"/>
      <c r="U7" s="1762">
        <v>46113</v>
      </c>
      <c r="V7" s="611"/>
      <c r="W7" s="536"/>
      <c r="Y7" s="129"/>
      <c r="Z7" s="129"/>
      <c r="AA7" s="129"/>
      <c r="AB7" s="129"/>
    </row>
    <row r="8" spans="1:28" s="3" customFormat="1" ht="37.5" customHeight="1">
      <c r="A8" s="207"/>
      <c r="B8" s="579"/>
      <c r="C8" s="225" t="s">
        <v>99</v>
      </c>
      <c r="D8" s="222"/>
      <c r="E8" s="547">
        <f>IF(U7="","",U7)</f>
        <v>46113</v>
      </c>
      <c r="F8" s="580"/>
      <c r="G8" s="581"/>
      <c r="H8" s="268" t="s">
        <v>214</v>
      </c>
      <c r="I8" s="225"/>
      <c r="J8" s="548" t="str">
        <f>"OIC"&amp;RIGHT(YEAR(oic_current_date),2)&amp;TEXT(P4,"0000")</f>
        <v>OIC260014</v>
      </c>
      <c r="K8" s="582"/>
      <c r="L8" s="207"/>
      <c r="M8" s="579"/>
      <c r="N8" s="1742"/>
      <c r="O8" s="1723"/>
      <c r="P8" s="1733" t="s">
        <v>1864</v>
      </c>
      <c r="Q8" s="1733"/>
      <c r="S8" s="1709"/>
      <c r="T8" s="1761"/>
      <c r="U8" s="1763"/>
      <c r="W8" s="612"/>
      <c r="Y8" s="129">
        <f>IF(oic_option_income_type&lt;&gt;"",VLOOKUP(MID(oic_option_income_type,1,2)*1,branch_list,7,FALSE),"")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583"/>
      <c r="C9" s="584"/>
      <c r="D9" s="222"/>
      <c r="E9" s="324"/>
      <c r="F9" s="325"/>
      <c r="G9" s="311"/>
      <c r="H9" s="585"/>
      <c r="I9" s="586"/>
      <c r="J9" s="587"/>
      <c r="K9" s="582"/>
      <c r="L9" s="170"/>
      <c r="M9" s="583"/>
      <c r="N9" s="843" t="s">
        <v>124</v>
      </c>
      <c r="O9" s="844"/>
      <c r="P9" s="845" t="e">
        <f>VLOOKUP(oic_customer_id,customer_list,2,FALSE)</f>
        <v>#N/A</v>
      </c>
      <c r="Q9" s="846" t="str">
        <f>MID(P8,1,4)</f>
        <v>0129</v>
      </c>
      <c r="R9" s="613"/>
      <c r="S9" s="201" t="s">
        <v>102</v>
      </c>
      <c r="T9" s="201"/>
      <c r="U9" s="201">
        <f>IFERROR(IF(oic_current_date="","",IF(AND(DAY(oic_current_date)&gt;0,DAY(oic_current_date)&lt;8),1,IF(AND(DAY(oic_current_date)&gt;7,DAY(oic_current_date)&lt;15),2,IF(AND(DAY(oic_current_date)&gt;14,DAY(oic_current_date)&lt;22),3,IF(AND(DAY(oic_current_date)&gt;21,DAY(oic_current_date)&lt;32),4,""))))),"")</f>
        <v>1</v>
      </c>
      <c r="V9" s="201"/>
      <c r="W9" s="537"/>
      <c r="Y9" s="135"/>
      <c r="Z9" s="472"/>
      <c r="AA9" s="135"/>
      <c r="AB9" s="135"/>
    </row>
    <row r="10" spans="1:28" s="147" customFormat="1" ht="27.95" customHeight="1">
      <c r="A10" s="208"/>
      <c r="B10" s="588"/>
      <c r="C10" s="225" t="s">
        <v>217</v>
      </c>
      <c r="D10" s="222"/>
      <c r="E10" s="589" t="str">
        <f>IFERROR(IF(AND(VLOOKUP(oic_customer_id,customer_list,2,FALSE)&lt;&gt;"",VLOOKUP(oic_customer_id,customer_list,4,FALSE)&lt;&gt;""),VLOOKUP(oic_customer_id,customer_list,2,FALSE)&amp; "_" &amp; VLOOKUP(oic_customer_id,customer_list,4,FALSE),""),"")</f>
        <v/>
      </c>
      <c r="F10" s="589"/>
      <c r="G10" s="589"/>
      <c r="H10" s="268" t="s">
        <v>310</v>
      </c>
      <c r="I10" s="225"/>
      <c r="J10" s="549">
        <f>oic_amount_kh_paid+oic_amount_en_paid*oic_exchange_rate</f>
        <v>0</v>
      </c>
      <c r="K10" s="582"/>
      <c r="L10" s="173"/>
      <c r="M10" s="614"/>
      <c r="N10" s="847"/>
      <c r="O10" s="847"/>
      <c r="P10" s="848" t="str">
        <f>MID(P8,6,100)</f>
        <v>សំអុន (Samon)</v>
      </c>
      <c r="Q10" s="849"/>
      <c r="R10" s="615"/>
      <c r="W10" s="538"/>
      <c r="Y10" s="182"/>
      <c r="Z10" s="473"/>
      <c r="AA10" s="182"/>
      <c r="AB10" s="182"/>
    </row>
    <row r="11" spans="1:28" s="147" customFormat="1" ht="25.5" customHeight="1">
      <c r="A11" s="208"/>
      <c r="B11" s="588"/>
      <c r="C11" s="225"/>
      <c r="D11" s="222"/>
      <c r="E11" s="471" t="str">
        <f>IFERROR(IF(VLOOKUP(oic_customer_id,customer_list,6,FALSE)="","",VLOOKUP(oic_customer_id,customer_list,6,FALSE))&amp;IF(VLOOKUP(oic_customer_id,customer_list,8,FALSE)="","",", "&amp;VLOOKUP(oic_customer_id,customer_list,8,FALSE))&amp;IF(VLOOKUP(oic_customer_id,customer_list,7,FALSE)="","",", (Telegram : "&amp;VLOOKUP(oic_customer_id,customer_list,7,FALSE)&amp;")"),"")</f>
        <v/>
      </c>
      <c r="F11" s="326"/>
      <c r="G11" s="550"/>
      <c r="H11" s="551"/>
      <c r="I11" s="551"/>
      <c r="J11" s="552"/>
      <c r="K11" s="582"/>
      <c r="L11" s="173"/>
      <c r="M11" s="614"/>
      <c r="N11" s="1709" t="s">
        <v>383</v>
      </c>
      <c r="O11" s="1723"/>
      <c r="P11" s="1752"/>
      <c r="Q11" s="1753"/>
      <c r="S11" s="1709" t="s">
        <v>223</v>
      </c>
      <c r="U11" s="1756" t="s">
        <v>226</v>
      </c>
      <c r="V11" s="1757"/>
      <c r="W11" s="538"/>
      <c r="Y11" s="182"/>
      <c r="Z11" s="182"/>
      <c r="AA11" s="182"/>
      <c r="AB11" s="182"/>
    </row>
    <row r="12" spans="1:28" s="147" customFormat="1" ht="27.75" customHeight="1">
      <c r="A12" s="208"/>
      <c r="B12" s="588"/>
      <c r="C12" s="225" t="s">
        <v>218</v>
      </c>
      <c r="D12" s="222"/>
      <c r="E12" s="553" t="str" cm="1">
        <f t="array" ref="E12">IF(J10&gt;0,SpellKhNumber(J10),"")</f>
        <v/>
      </c>
      <c r="F12" s="554"/>
      <c r="G12" s="555"/>
      <c r="H12" s="556"/>
      <c r="I12" s="556"/>
      <c r="J12" s="557"/>
      <c r="K12" s="582"/>
      <c r="L12" s="173"/>
      <c r="M12" s="614"/>
      <c r="N12" s="1709"/>
      <c r="O12" s="1723"/>
      <c r="P12" s="1754"/>
      <c r="Q12" s="1755"/>
      <c r="S12" s="1709"/>
      <c r="U12" s="638" t="s">
        <v>225</v>
      </c>
      <c r="V12" s="639">
        <v>4001</v>
      </c>
      <c r="W12" s="538"/>
      <c r="Y12" s="182"/>
      <c r="Z12" s="182"/>
      <c r="AA12" s="182"/>
      <c r="AB12" s="182"/>
    </row>
    <row r="13" spans="1:28" s="147" customFormat="1" ht="34.5" customHeight="1">
      <c r="A13" s="208"/>
      <c r="B13" s="588"/>
      <c r="C13" s="225" t="s">
        <v>221</v>
      </c>
      <c r="D13" s="222"/>
      <c r="E13" s="487" t="str">
        <f>IF(P16="","",MID(TEXT(P16,"000000"),1,40))</f>
        <v>000990</v>
      </c>
      <c r="F13" s="560"/>
      <c r="G13" s="558"/>
      <c r="H13" s="559" t="s">
        <v>312</v>
      </c>
      <c r="I13" s="559"/>
      <c r="J13" s="518" t="s">
        <v>215</v>
      </c>
      <c r="K13" s="582"/>
      <c r="L13" s="173"/>
      <c r="M13" s="614"/>
      <c r="N13" s="197"/>
      <c r="O13" s="226"/>
      <c r="P13" s="1738"/>
      <c r="Q13" s="1739"/>
      <c r="S13" s="1709" t="s">
        <v>224</v>
      </c>
      <c r="T13" s="224"/>
      <c r="U13" s="640"/>
      <c r="V13" s="641"/>
      <c r="W13" s="538"/>
      <c r="Y13" s="182"/>
      <c r="Z13" s="182"/>
      <c r="AA13" s="182"/>
      <c r="AB13" s="182"/>
    </row>
    <row r="14" spans="1:28" s="147" customFormat="1" ht="25.5">
      <c r="A14" s="208"/>
      <c r="B14" s="588"/>
      <c r="C14" s="311" t="s">
        <v>219</v>
      </c>
      <c r="D14" s="327"/>
      <c r="E14" s="326" t="str">
        <f>IF(oic_invoice_no="","",MID(P18,4,20))</f>
        <v>.នឹម ស្រីមុំ</v>
      </c>
      <c r="F14" s="326"/>
      <c r="H14" s="590"/>
      <c r="I14" s="228"/>
      <c r="J14" s="519" t="s">
        <v>216</v>
      </c>
      <c r="K14" s="582"/>
      <c r="L14" s="173"/>
      <c r="M14" s="614"/>
      <c r="N14" s="197"/>
      <c r="O14" s="226"/>
      <c r="P14" s="1740"/>
      <c r="Q14" s="1741"/>
      <c r="S14" s="1709"/>
      <c r="W14" s="538"/>
      <c r="Y14" s="182"/>
      <c r="Z14" s="182"/>
      <c r="AA14" s="182"/>
      <c r="AB14" s="182"/>
    </row>
    <row r="15" spans="1:28" s="147" customFormat="1" ht="30" customHeight="1">
      <c r="A15" s="208"/>
      <c r="B15" s="588"/>
      <c r="D15" s="591"/>
      <c r="E15" s="592" t="str">
        <f>IF(OR(P18="",oic_invoice_no="",ISNA(VLOOKUP(Q18,saller_list,5,FALSE))),"","លេខទូរស័ព្ទ ៖ "&amp;VLOOKUP(Q18,saller_list,5,FALSE))</f>
        <v/>
      </c>
      <c r="F15" s="593"/>
      <c r="H15" s="563"/>
      <c r="I15" s="279"/>
      <c r="J15" s="486" t="s">
        <v>220</v>
      </c>
      <c r="K15" s="582"/>
      <c r="L15" s="173"/>
      <c r="M15" s="614"/>
      <c r="N15" s="608" t="s">
        <v>321</v>
      </c>
      <c r="O15" s="616"/>
      <c r="P15" s="617" t="e">
        <f>IF(oic_invoice_no&lt;&gt;"",SUMIF(#REF!,oic_invoice_no*1,#REF!),"")</f>
        <v>#REF!</v>
      </c>
      <c r="Q15" s="618"/>
      <c r="S15" s="636" t="s">
        <v>250</v>
      </c>
      <c r="T15" s="637"/>
      <c r="U15" s="1735" t="s">
        <v>535</v>
      </c>
      <c r="V15" s="1735"/>
      <c r="W15" s="538"/>
      <c r="Y15" s="182"/>
      <c r="Z15" s="182"/>
      <c r="AA15" s="182"/>
      <c r="AB15" s="182"/>
    </row>
    <row r="16" spans="1:28" s="147" customFormat="1" ht="30" customHeight="1">
      <c r="A16" s="208"/>
      <c r="B16" s="588"/>
      <c r="C16" s="225"/>
      <c r="D16" s="591"/>
      <c r="E16" s="561" t="str">
        <f>IF(OR(P18="",oic_invoice_no="",ISNA(VLOOKUP(Q18,saller_list,6,FALSE))),"","តេលេក្រាម ៖ "&amp;VLOOKUP(Q18,saller_list,6,FALSE))</f>
        <v/>
      </c>
      <c r="F16" s="562"/>
      <c r="G16" s="594"/>
      <c r="H16" s="268" t="s">
        <v>311</v>
      </c>
      <c r="I16" s="222"/>
      <c r="J16" s="595">
        <f>oic_total_amount_paid</f>
        <v>0</v>
      </c>
      <c r="K16" s="582"/>
      <c r="L16" s="173"/>
      <c r="M16" s="614"/>
      <c r="N16" s="619" t="s">
        <v>1859</v>
      </c>
      <c r="O16" s="226"/>
      <c r="P16" s="1736">
        <v>990</v>
      </c>
      <c r="Q16" s="1737"/>
      <c r="W16" s="538"/>
      <c r="Y16" s="182"/>
      <c r="Z16" s="182"/>
      <c r="AA16" s="182"/>
      <c r="AB16" s="182"/>
    </row>
    <row r="17" spans="1:28" s="147" customFormat="1" ht="24.75" customHeight="1">
      <c r="A17" s="208"/>
      <c r="B17" s="588"/>
      <c r="C17" s="1742" t="s">
        <v>100</v>
      </c>
      <c r="D17" s="1743"/>
      <c r="E17" s="1744" t="str">
        <f>IF(S18="","",S18)</f>
        <v>បុង 990</v>
      </c>
      <c r="F17" s="1744"/>
      <c r="G17" s="1744"/>
      <c r="H17" s="268" t="s">
        <v>58</v>
      </c>
      <c r="I17" s="222"/>
      <c r="J17" s="595">
        <v>0</v>
      </c>
      <c r="K17" s="582"/>
      <c r="L17" s="173"/>
      <c r="M17" s="614"/>
      <c r="N17" s="225"/>
      <c r="O17" s="226"/>
      <c r="P17" s="620" t="s">
        <v>245</v>
      </c>
      <c r="S17" s="565" t="s">
        <v>101</v>
      </c>
      <c r="T17" s="566"/>
      <c r="U17" s="567"/>
      <c r="V17" s="568"/>
      <c r="W17" s="621"/>
      <c r="Y17" s="182"/>
      <c r="Z17" s="182"/>
      <c r="AA17" s="182"/>
      <c r="AB17" s="182"/>
    </row>
    <row r="18" spans="1:28" s="147" customFormat="1" ht="27" customHeight="1">
      <c r="A18" s="208"/>
      <c r="B18" s="588"/>
      <c r="C18" s="1742"/>
      <c r="D18" s="1743"/>
      <c r="E18" s="1744"/>
      <c r="F18" s="1744"/>
      <c r="G18" s="1744"/>
      <c r="H18" s="268" t="s">
        <v>109</v>
      </c>
      <c r="I18" s="222"/>
      <c r="J18" s="596">
        <f>oic_total_amount_paid</f>
        <v>0</v>
      </c>
      <c r="K18" s="582"/>
      <c r="L18" s="173"/>
      <c r="M18" s="614"/>
      <c r="N18" s="311" t="s">
        <v>384</v>
      </c>
      <c r="O18" s="226"/>
      <c r="P18" s="1745" t="s">
        <v>2261</v>
      </c>
      <c r="Q18" s="1745"/>
      <c r="S18" s="1746" t="str">
        <f>"បុង " &amp;oic_invoice_no</f>
        <v>បុង 990</v>
      </c>
      <c r="T18" s="1747"/>
      <c r="U18" s="1747"/>
      <c r="V18" s="1748"/>
      <c r="W18" s="621"/>
      <c r="Y18" s="182"/>
      <c r="Z18" s="182"/>
      <c r="AA18" s="182"/>
      <c r="AB18" s="182"/>
    </row>
    <row r="19" spans="1:28" s="147" customFormat="1" ht="27" customHeight="1">
      <c r="A19" s="208"/>
      <c r="B19" s="588"/>
      <c r="C19" s="204"/>
      <c r="D19" s="204"/>
      <c r="E19" s="1744"/>
      <c r="F19" s="1744"/>
      <c r="G19" s="1744"/>
      <c r="H19" s="268" t="s">
        <v>213</v>
      </c>
      <c r="I19" s="222"/>
      <c r="J19" s="595">
        <f>oic_amount_due-J17-J18</f>
        <v>0</v>
      </c>
      <c r="K19" s="582"/>
      <c r="L19" s="173"/>
      <c r="M19" s="614"/>
      <c r="N19" s="197"/>
      <c r="S19" s="1749"/>
      <c r="T19" s="1750"/>
      <c r="U19" s="1750"/>
      <c r="V19" s="1751"/>
      <c r="W19" s="621"/>
      <c r="Y19" s="182"/>
      <c r="Z19" s="182"/>
      <c r="AA19" s="182"/>
      <c r="AB19" s="182"/>
    </row>
    <row r="20" spans="1:28" s="34" customFormat="1" ht="7.5" customHeight="1">
      <c r="A20" s="208"/>
      <c r="B20" s="597"/>
      <c r="C20" s="277"/>
      <c r="D20" s="277"/>
      <c r="E20" s="598"/>
      <c r="F20" s="598"/>
      <c r="G20" s="599"/>
      <c r="H20" s="600"/>
      <c r="I20" s="600"/>
      <c r="J20" s="600"/>
      <c r="K20" s="601"/>
      <c r="L20" s="174"/>
      <c r="M20" s="622"/>
      <c r="N20" s="623"/>
      <c r="O20" s="624"/>
      <c r="P20" s="600"/>
      <c r="Q20" s="600"/>
      <c r="R20" s="600"/>
      <c r="S20" s="600"/>
      <c r="T20" s="600"/>
      <c r="U20" s="600"/>
      <c r="V20" s="600"/>
      <c r="W20" s="625"/>
      <c r="Y20" s="474"/>
      <c r="Z20" s="474"/>
      <c r="AA20" s="474"/>
      <c r="AB20" s="474"/>
    </row>
    <row r="21" spans="1:28" ht="24" customHeight="1">
      <c r="A21" s="208"/>
      <c r="B21" s="208"/>
      <c r="C21" s="204"/>
      <c r="D21" s="204"/>
      <c r="E21" s="180"/>
      <c r="F21" s="189"/>
      <c r="G21" s="220"/>
      <c r="H21" s="179"/>
      <c r="I21" s="179"/>
      <c r="J21" s="215"/>
      <c r="K21" s="195"/>
      <c r="Y21" s="129"/>
      <c r="Z21" s="129"/>
      <c r="AA21" s="129"/>
      <c r="AB21" s="129"/>
    </row>
    <row r="22" spans="1:28" ht="33.75" customHeight="1">
      <c r="M22" s="630"/>
      <c r="N22" s="631" t="s">
        <v>263</v>
      </c>
      <c r="O22" s="632"/>
      <c r="P22" s="633"/>
      <c r="Q22" s="634"/>
      <c r="S22" s="225" t="str">
        <f>IFERROR(IF(oic_invoice_no&lt;&gt;"",VLOOKUP(N(oic_invoice_no),sale_invoice_data_list,8,FALSE),""),"")</f>
        <v/>
      </c>
      <c r="T22" s="129"/>
      <c r="U22" s="1732"/>
      <c r="V22" s="1732"/>
    </row>
    <row r="23" spans="1:28" ht="33.75" customHeight="1">
      <c r="M23" s="630"/>
      <c r="N23" s="631" t="s">
        <v>109</v>
      </c>
      <c r="O23" s="632"/>
      <c r="P23" s="633"/>
      <c r="Q23" s="635"/>
      <c r="S23" s="203" t="str">
        <f>IFERROR(IF(VLOOKUP(S22,customer_list,4,FALSE)&lt;&gt;"",VLOOKUP(S22,customer_list,4,FALSE),""),"")</f>
        <v/>
      </c>
      <c r="T23" s="129"/>
      <c r="U23" s="129"/>
      <c r="V23" s="129"/>
    </row>
    <row r="24" spans="1:28" ht="30.75" customHeight="1">
      <c r="M24" s="630"/>
      <c r="N24" s="631" t="s">
        <v>262</v>
      </c>
      <c r="O24" s="632"/>
      <c r="P24" s="633"/>
      <c r="Q24" s="635"/>
      <c r="S24" s="203" t="e">
        <f>VLOOKUP(S22,customer_list,2,FALSE)</f>
        <v>#N/A</v>
      </c>
      <c r="T24" s="129"/>
      <c r="U24" s="129"/>
      <c r="V24" s="129"/>
    </row>
    <row r="25" spans="1:28" ht="37.5" customHeight="1">
      <c r="M25" s="628"/>
      <c r="N25" s="629" t="s">
        <v>309</v>
      </c>
      <c r="O25" s="626"/>
      <c r="P25" s="627"/>
      <c r="Q25" s="540"/>
      <c r="S25" s="129"/>
      <c r="T25" s="129"/>
      <c r="U25" s="129"/>
      <c r="V25" s="129"/>
    </row>
    <row r="26" spans="1:28" ht="24" customHeight="1">
      <c r="H26" s="6"/>
      <c r="I26" s="6"/>
      <c r="J26" s="216"/>
      <c r="K26" s="217"/>
    </row>
    <row r="27" spans="1:28" ht="24" customHeight="1">
      <c r="C27" s="5"/>
      <c r="D27" s="221"/>
      <c r="F27" s="8"/>
      <c r="G27" s="8"/>
      <c r="H27" s="6"/>
      <c r="I27" s="6"/>
    </row>
    <row r="28" spans="1:28" ht="24" customHeight="1">
      <c r="C28" s="5"/>
      <c r="D28" s="221"/>
      <c r="G28" s="8"/>
      <c r="H28" s="6"/>
      <c r="I28" s="6"/>
    </row>
    <row r="29" spans="1:28" ht="24" customHeight="1">
      <c r="C29" s="5"/>
      <c r="D29" s="221"/>
      <c r="G29" s="8"/>
      <c r="H29" s="6"/>
      <c r="I29" s="6"/>
    </row>
    <row r="30" spans="1:28" ht="24" customHeight="1">
      <c r="C30" s="5"/>
      <c r="D30" s="221"/>
      <c r="G30" s="8"/>
      <c r="H30" s="6"/>
      <c r="I30" s="6"/>
    </row>
    <row r="31" spans="1:28" ht="24" customHeight="1">
      <c r="C31" s="5"/>
      <c r="D31" s="221"/>
      <c r="G31" s="8"/>
      <c r="H31" s="6"/>
      <c r="I31" s="6"/>
    </row>
    <row r="32" spans="1:28" ht="24" customHeight="1">
      <c r="C32" s="5"/>
      <c r="D32" s="221"/>
      <c r="G32" s="8"/>
      <c r="H32" s="6"/>
      <c r="I32" s="6"/>
    </row>
    <row r="33" spans="1:22" ht="24" customHeight="1">
      <c r="C33" s="5"/>
      <c r="D33" s="221"/>
      <c r="G33" s="8"/>
      <c r="H33" s="6"/>
      <c r="I33" s="6"/>
    </row>
    <row r="34" spans="1:22" ht="24" customHeight="1">
      <c r="C34" s="5"/>
      <c r="D34" s="221"/>
      <c r="G34" s="8"/>
      <c r="H34" s="6"/>
      <c r="I34" s="6"/>
    </row>
    <row r="35" spans="1:22" s="133" customFormat="1" ht="24" customHeight="1">
      <c r="A35" s="47"/>
      <c r="B35" s="47"/>
      <c r="C35" s="5"/>
      <c r="D35" s="221"/>
      <c r="E35" s="5"/>
      <c r="F35" s="5"/>
      <c r="G35" s="8"/>
      <c r="H35" s="6"/>
      <c r="I35" s="6"/>
      <c r="J35" s="213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1"/>
      <c r="E36" s="5"/>
      <c r="F36" s="5"/>
      <c r="G36" s="8"/>
      <c r="H36" s="6"/>
      <c r="I36" s="6"/>
      <c r="J36" s="213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1"/>
      <c r="E37" s="5"/>
      <c r="F37" s="5"/>
      <c r="G37" s="8"/>
      <c r="H37" s="6"/>
      <c r="I37" s="6"/>
      <c r="J37" s="213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1"/>
      <c r="E38" s="5"/>
      <c r="F38" s="5"/>
      <c r="G38" s="8"/>
      <c r="H38" s="6"/>
      <c r="I38" s="6"/>
      <c r="J38" s="213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1"/>
      <c r="E39" s="5"/>
      <c r="F39" s="5"/>
      <c r="G39" s="8"/>
      <c r="H39" s="6"/>
      <c r="I39" s="6"/>
      <c r="J39" s="213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1"/>
      <c r="E40" s="5"/>
      <c r="F40" s="5"/>
      <c r="G40" s="8"/>
      <c r="H40" s="6"/>
      <c r="I40" s="6"/>
      <c r="J40" s="213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1"/>
      <c r="E41" s="5"/>
      <c r="F41" s="5"/>
      <c r="G41" s="8"/>
      <c r="H41" s="6"/>
      <c r="I41" s="6"/>
      <c r="J41" s="213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1"/>
      <c r="E42" s="5"/>
      <c r="F42" s="5"/>
      <c r="G42" s="8"/>
      <c r="H42" s="6"/>
      <c r="I42" s="6"/>
      <c r="J42" s="213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1"/>
      <c r="E43" s="5"/>
      <c r="F43" s="5"/>
      <c r="G43" s="8"/>
      <c r="H43" s="6"/>
      <c r="I43" s="6"/>
      <c r="J43" s="213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1"/>
      <c r="E44" s="5"/>
      <c r="F44" s="5"/>
      <c r="G44" s="8"/>
      <c r="H44" s="6"/>
      <c r="I44" s="6"/>
      <c r="J44" s="213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B1:K1"/>
    <mergeCell ref="N1:W1"/>
    <mergeCell ref="N7:N8"/>
    <mergeCell ref="O7:O8"/>
    <mergeCell ref="S7:S8"/>
    <mergeCell ref="T7:T8"/>
    <mergeCell ref="U7:U8"/>
    <mergeCell ref="N11:N12"/>
    <mergeCell ref="O11:O12"/>
    <mergeCell ref="P11:Q12"/>
    <mergeCell ref="S11:S12"/>
    <mergeCell ref="U11:V11"/>
    <mergeCell ref="C17:C18"/>
    <mergeCell ref="D17:D18"/>
    <mergeCell ref="E17:G19"/>
    <mergeCell ref="P18:Q18"/>
    <mergeCell ref="S18:V19"/>
    <mergeCell ref="U22:V22"/>
    <mergeCell ref="P8:Q8"/>
    <mergeCell ref="U5:V5"/>
    <mergeCell ref="U15:V15"/>
    <mergeCell ref="P16:Q16"/>
    <mergeCell ref="P13:Q14"/>
    <mergeCell ref="S13:S14"/>
  </mergeCells>
  <dataValidations count="9">
    <dataValidation type="list" allowBlank="1" showInputMessage="1" showErrorMessage="1" sqref="U15:V15" xr:uid="{7BD7B22E-6717-4961-86EF-5E17FCF4309E}">
      <formula1>module_type_option</formula1>
    </dataValidation>
    <dataValidation type="whole" operator="greaterThanOrEqual" allowBlank="1" showInputMessage="1" showErrorMessage="1" sqref="K21" xr:uid="{EDE32850-EE1C-4DE4-B7F7-E9580901F077}">
      <formula1>0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A4E9A0F9-BAAA-4D88-A9E2-A0B416C239AB}">
      <formula1>1</formula1>
    </dataValidation>
    <dataValidation type="list" allowBlank="1" showInputMessage="1" showErrorMessage="1" sqref="P18" xr:uid="{C99F2D24-6CC3-4903-91C4-37A3E2C0600F}">
      <formula1>saller_option</formula1>
    </dataValidation>
    <dataValidation type="whole" operator="greaterThanOrEqual" allowBlank="1" showInputMessage="1" showErrorMessage="1" sqref="P16" xr:uid="{EBFCAC8E-74E2-4823-9B13-C6FA049DDBF7}">
      <formula1>1</formula1>
    </dataValidation>
    <dataValidation type="list" allowBlank="1" showInputMessage="1" showErrorMessage="1" sqref="U5" xr:uid="{32AF9110-3811-44AF-B690-5B5888BD3FCF}">
      <formula1>IF(Q5="","",iow_1)</formula1>
    </dataValidation>
    <dataValidation type="list" allowBlank="1" showInputMessage="1" showErrorMessage="1" sqref="P5" xr:uid="{8DAE9FD7-0C2B-472F-A4A8-10567B2059BE}">
      <formula1>branch_option</formula1>
    </dataValidation>
    <dataValidation type="whole" operator="greaterThanOrEqual" allowBlank="1" showInputMessage="1" showErrorMessage="1" error="បញ្ចូលបានលេ,សូមបញ្ចូលម្តងទៀត។" sqref="J10" xr:uid="{8C3C7682-6E46-4677-902F-1C263BA59958}">
      <formula1>0</formula1>
    </dataValidation>
    <dataValidation type="list" allowBlank="1" showInputMessage="1" showErrorMessage="1" sqref="P8" xr:uid="{E22E33F3-BA1E-46A6-9B0C-A9BC4D305D68}">
      <formula1>customer_name_option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884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0" r:id="rId5" name="Check Box 2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1" r:id="rId6" name="Check Box 3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2" r:id="rId7" name="Button 4">
              <controlPr defaultSize="0" print="0" autoFill="0" autoPict="0" macro="[0]!currentDateOic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3" r:id="rId8" name="Button 5">
              <controlPr defaultSize="0" print="0" autoFill="0" autoPict="0" macro="[0]!ExchangeRateOic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4" r:id="rId9" name="Button 6">
              <controlPr defaultSize="0" print="0" autoFill="0" autoPict="0" macro="[0]!SaveDataOtherIncome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5" r:id="rId10" name="Button 7">
              <controlPr defaultSize="0" print="0" autoFill="0" autoPict="0" macro="[0]!copyOtherIncome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6" r:id="rId11" name="Button 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7" r:id="rId12" name="Button 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8" r:id="rId13" name="Button 10">
              <controlPr defaultSize="0" print="0" autoFill="0" autoPict="0" macro="[0]!goToHome" altText="ទំព័រដើម">
                <anchor moveWithCells="1" siz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1009650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>
    <tabColor rgb="FF92D050"/>
  </sheetPr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Y15" sqref="Y15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3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17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758" t="s">
        <v>227</v>
      </c>
      <c r="C1" s="1758"/>
      <c r="D1" s="1758"/>
      <c r="E1" s="1758"/>
      <c r="F1" s="1758"/>
      <c r="G1" s="1758"/>
      <c r="H1" s="1758"/>
      <c r="I1" s="1758"/>
      <c r="J1" s="1758"/>
      <c r="K1" s="1758"/>
      <c r="M1" s="569"/>
      <c r="N1" s="1759" t="s">
        <v>222</v>
      </c>
      <c r="O1" s="1759"/>
      <c r="P1" s="1759"/>
      <c r="Q1" s="1759"/>
      <c r="R1" s="1759"/>
      <c r="S1" s="1759"/>
      <c r="T1" s="1759"/>
      <c r="U1" s="1759"/>
      <c r="V1" s="1759"/>
      <c r="W1" s="1760"/>
    </row>
    <row r="2" spans="1:28" ht="11.25" customHeight="1">
      <c r="B2" s="307"/>
      <c r="C2" s="307"/>
      <c r="D2" s="307"/>
      <c r="E2" s="307"/>
      <c r="F2" s="307"/>
      <c r="G2" s="307"/>
      <c r="H2" s="307"/>
      <c r="I2" s="307"/>
      <c r="J2" s="307"/>
      <c r="K2" s="307"/>
      <c r="M2" s="577"/>
      <c r="N2" s="602"/>
      <c r="O2" s="602"/>
      <c r="P2" s="602"/>
      <c r="Q2" s="602"/>
      <c r="R2" s="602"/>
      <c r="S2" s="602"/>
      <c r="T2" s="602"/>
      <c r="U2" s="602"/>
      <c r="V2" s="602"/>
      <c r="W2" s="603"/>
    </row>
    <row r="3" spans="1:28" ht="24" customHeight="1">
      <c r="B3" s="569"/>
      <c r="C3" s="570"/>
      <c r="D3" s="571"/>
      <c r="E3" s="572"/>
      <c r="F3" s="573"/>
      <c r="G3" s="574"/>
      <c r="H3" s="575"/>
      <c r="I3" s="575"/>
      <c r="J3" s="546"/>
      <c r="K3" s="576"/>
      <c r="M3" s="577"/>
      <c r="N3" s="604"/>
      <c r="O3" s="604"/>
      <c r="P3" s="604"/>
      <c r="Q3" s="604"/>
      <c r="R3" s="604"/>
      <c r="S3" s="604"/>
      <c r="T3" s="604"/>
      <c r="U3" s="604"/>
      <c r="V3" s="604"/>
      <c r="W3" s="605"/>
      <c r="Y3" s="326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577"/>
      <c r="C4" s="3"/>
      <c r="E4" s="3"/>
      <c r="F4" s="52"/>
      <c r="G4" s="149"/>
      <c r="H4" s="162"/>
      <c r="I4" s="162"/>
      <c r="K4" s="578"/>
      <c r="L4" s="211"/>
      <c r="M4" s="606"/>
      <c r="N4" s="311" t="s">
        <v>214</v>
      </c>
      <c r="O4" s="226"/>
      <c r="P4" s="564">
        <v>1</v>
      </c>
      <c r="S4" s="311" t="s">
        <v>264</v>
      </c>
      <c r="T4" s="222"/>
      <c r="U4" s="642" t="str">
        <f>IF(c_rp_status=-1,"Edit",IF(c_rp_status=1,"Issue",IF(c_rp_status=2,"Fullfilied",IF(c_rp_status=3,"Partial",1))))</f>
        <v>Issue</v>
      </c>
      <c r="V4" s="643">
        <f>IF(OR(c_rp_invoice_no="",ISNA(VLOOKUP(c_rp_invoice_no*1,sale_invoice_data_list,16,FALSE))),1,VLOOKUP(c_rp_invoice_no*1,sale_invoice_data_list,16,FALSE))</f>
        <v>1</v>
      </c>
      <c r="W4" s="536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577"/>
      <c r="K5" s="578"/>
      <c r="L5" s="211"/>
      <c r="M5" s="606"/>
      <c r="N5" s="311" t="s">
        <v>381</v>
      </c>
      <c r="O5" s="226"/>
      <c r="P5" s="479" t="s">
        <v>267</v>
      </c>
      <c r="Q5" s="277">
        <f>MID(P5,1,2)*1</f>
        <v>1</v>
      </c>
      <c r="S5" s="311" t="s">
        <v>379</v>
      </c>
      <c r="T5" s="222"/>
      <c r="U5" s="479" t="s">
        <v>105</v>
      </c>
      <c r="V5" s="277">
        <f>MID(U5,1,3)*1</f>
        <v>3</v>
      </c>
      <c r="W5" s="536"/>
      <c r="Y5" s="342" t="str">
        <f>IF(rp_option_income_type&lt;&gt;"","លេខទូរស័ព្ទ ៖ "&amp;VLOOKUP(MID(rp_option_income_type,1,2)*1,branch_list,11,FALSE),"")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577"/>
      <c r="K6" s="578"/>
      <c r="L6" s="214"/>
      <c r="M6" s="607"/>
      <c r="O6" s="226"/>
      <c r="Q6" s="81"/>
      <c r="S6" s="608" t="s">
        <v>128</v>
      </c>
      <c r="T6" s="609"/>
      <c r="U6" s="610" t="e">
        <f>VLOOKUP(c_rp_invoice_no,sale_invoice_data_list,2,FALSE)</f>
        <v>#N/A</v>
      </c>
      <c r="V6" s="81"/>
      <c r="W6" s="536"/>
      <c r="Y6" s="129" t="str">
        <f>IF(rp_option_income_type&lt;&gt;"",VLOOKUP(MID(rp_option_income_type,1,2)*1,branch_list,6,FALSE),"")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577"/>
      <c r="C7" s="541"/>
      <c r="D7" s="542"/>
      <c r="E7" s="543"/>
      <c r="F7" s="543"/>
      <c r="G7" s="544"/>
      <c r="H7" s="545"/>
      <c r="I7" s="545"/>
      <c r="J7" s="546"/>
      <c r="K7" s="578"/>
      <c r="L7" s="214"/>
      <c r="M7" s="607"/>
      <c r="N7" s="1709" t="s">
        <v>382</v>
      </c>
      <c r="O7" s="1723"/>
      <c r="P7" s="1766">
        <v>1</v>
      </c>
      <c r="Q7" s="1768" t="str">
        <f>IFERROR(IF(AND(P7&lt;&gt;"",P7&gt;0),"("&amp;P7&amp;")",""),"")</f>
        <v>(1)</v>
      </c>
      <c r="S7" s="1709" t="s">
        <v>380</v>
      </c>
      <c r="T7" s="1761"/>
      <c r="U7" s="1762">
        <v>46148</v>
      </c>
      <c r="V7" s="611"/>
      <c r="W7" s="536"/>
      <c r="Y7" s="129"/>
      <c r="Z7" s="129"/>
      <c r="AA7" s="129"/>
      <c r="AB7" s="129"/>
    </row>
    <row r="8" spans="1:28" s="3" customFormat="1" ht="27.95" customHeight="1">
      <c r="A8" s="207"/>
      <c r="B8" s="579"/>
      <c r="C8" s="225" t="s">
        <v>99</v>
      </c>
      <c r="D8" s="222"/>
      <c r="E8" s="547">
        <f>IF(U7="","",U7)</f>
        <v>46148</v>
      </c>
      <c r="F8" s="580"/>
      <c r="G8" s="581"/>
      <c r="H8" s="268" t="s">
        <v>214</v>
      </c>
      <c r="I8" s="225"/>
      <c r="J8" s="548" t="str">
        <f>RIGHT(YEAR(c_rp_current_date),2)&amp;"OC"&amp;TEXT(P4,"000000")</f>
        <v>26OC000001</v>
      </c>
      <c r="K8" s="582"/>
      <c r="L8" s="207"/>
      <c r="M8" s="579"/>
      <c r="N8" s="1709"/>
      <c r="O8" s="1723"/>
      <c r="P8" s="1767"/>
      <c r="Q8" s="1768"/>
      <c r="S8" s="1709"/>
      <c r="T8" s="1761"/>
      <c r="U8" s="1763"/>
      <c r="W8" s="612"/>
      <c r="Y8" s="129">
        <f>IF(rp_option_income_type&lt;&gt;"",VLOOKUP(MID(rp_option_income_type,1,2)*1,branch_list,7,FALSE),"")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583"/>
      <c r="C9" s="584"/>
      <c r="D9" s="222"/>
      <c r="E9" s="324"/>
      <c r="F9" s="325"/>
      <c r="G9" s="311"/>
      <c r="H9" s="585"/>
      <c r="I9" s="586"/>
      <c r="J9" s="587"/>
      <c r="K9" s="582"/>
      <c r="L9" s="170"/>
      <c r="M9" s="583"/>
      <c r="N9" s="227" t="s">
        <v>124</v>
      </c>
      <c r="O9" s="854"/>
      <c r="P9" s="855" t="s">
        <v>1860</v>
      </c>
      <c r="Q9" s="223" t="str">
        <f>IFERROR(IF(c_rp_invoice_no&lt;&gt;"",VLOOKUP(N(c_rp_invoice_no),sale_invoice_data_list,8,FALSE),""),"")</f>
        <v/>
      </c>
      <c r="R9" s="349"/>
      <c r="S9" s="201" t="s">
        <v>102</v>
      </c>
      <c r="T9" s="201"/>
      <c r="U9" s="201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1</v>
      </c>
      <c r="V9" s="201"/>
      <c r="W9" s="537"/>
      <c r="Y9" s="135"/>
      <c r="Z9" s="472"/>
      <c r="AA9" s="135"/>
      <c r="AB9" s="135"/>
    </row>
    <row r="10" spans="1:28" s="147" customFormat="1" ht="27.95" customHeight="1">
      <c r="A10" s="208"/>
      <c r="B10" s="588"/>
      <c r="C10" s="225" t="s">
        <v>217</v>
      </c>
      <c r="D10" s="222"/>
      <c r="E10" s="589" t="str">
        <f>IFERROR(IF(AND(VLOOKUP(c_rp_customer_id,customer_list,2,FALSE)&lt;&gt;"",VLOOKUP(c_rp_customer_id,customer_list,4,FALSE)&lt;&gt;""),VLOOKUP(c_rp_customer_id,customer_list,2,FALSE)&amp; "_" &amp; VLOOKUP(c_rp_customer_id,customer_list,4,FALSE),""),"")</f>
        <v/>
      </c>
      <c r="F10" s="589"/>
      <c r="G10" s="589"/>
      <c r="H10" s="268" t="s">
        <v>310</v>
      </c>
      <c r="I10" s="225"/>
      <c r="J10" s="549">
        <f>IFERROR(IF(AND(P11="",P13=""),0,IF(P11&gt;rp_amount_due,rp_amount_due,P11)+IF((P13*c_rp_exchange_rate)&gt;rp_amount_due,rp_amount_due,P13*c_rp_exchange_rate)),"")</f>
        <v>0</v>
      </c>
      <c r="K10" s="582"/>
      <c r="L10" s="173"/>
      <c r="M10" s="614"/>
      <c r="N10" s="856"/>
      <c r="O10" s="856"/>
      <c r="P10" s="857" t="str">
        <f>IFERROR(IF(VLOOKUP(c_rp_customer_id,customer_list,4,FALSE)&lt;&gt;"",VLOOKUP(c_rp_customer_id,customer_list,4,FALSE),""),"")</f>
        <v/>
      </c>
      <c r="Q10" s="858"/>
      <c r="R10" s="173"/>
      <c r="W10" s="538"/>
      <c r="Y10" s="850"/>
      <c r="Z10" s="473"/>
      <c r="AA10" s="182"/>
      <c r="AB10" s="182"/>
    </row>
    <row r="11" spans="1:28" s="147" customFormat="1" ht="25.5" customHeight="1">
      <c r="A11" s="208"/>
      <c r="B11" s="588"/>
      <c r="C11" s="225"/>
      <c r="D11" s="222"/>
      <c r="E11" s="471" t="str">
        <f>IFERROR(IF(VLOOKUP(c_rp_customer_id,customer_list,6,FALSE)="","",VLOOKUP(c_rp_customer_id,customer_list,6,FALSE))&amp;IF(VLOOKUP(c_rp_customer_id,customer_list,8,FALSE)="","",", "&amp;VLOOKUP(c_rp_customer_id,customer_list,8,FALSE))&amp;IF(VLOOKUP(c_rp_customer_id,customer_list,7,FALSE)="","",", (Telegram : "&amp;VLOOKUP(c_rp_customer_id,customer_list,7,FALSE)&amp;")"),"")</f>
        <v/>
      </c>
      <c r="F11" s="326"/>
      <c r="G11" s="550"/>
      <c r="H11" s="551"/>
      <c r="I11" s="551"/>
      <c r="J11" s="552"/>
      <c r="K11" s="582"/>
      <c r="L11" s="173"/>
      <c r="M11" s="614"/>
      <c r="N11" s="1709" t="s">
        <v>383</v>
      </c>
      <c r="O11" s="1723"/>
      <c r="P11" s="1752"/>
      <c r="Q11" s="1753"/>
      <c r="S11" s="1709" t="s">
        <v>223</v>
      </c>
      <c r="U11" s="1756" t="s">
        <v>226</v>
      </c>
      <c r="V11" s="1757"/>
      <c r="W11" s="538"/>
      <c r="Y11" s="182"/>
      <c r="Z11" s="182"/>
      <c r="AA11" s="182"/>
      <c r="AB11" s="182"/>
    </row>
    <row r="12" spans="1:28" s="147" customFormat="1" ht="27.75" customHeight="1">
      <c r="A12" s="208"/>
      <c r="B12" s="588"/>
      <c r="C12" s="225" t="s">
        <v>218</v>
      </c>
      <c r="D12" s="222"/>
      <c r="E12" s="553" t="str" cm="1">
        <f t="array" ref="E12">IF(J10&gt;0,SpellKhNumber(J10),"")</f>
        <v/>
      </c>
      <c r="F12" s="554"/>
      <c r="G12" s="555"/>
      <c r="H12" s="556"/>
      <c r="I12" s="556"/>
      <c r="J12" s="557"/>
      <c r="K12" s="582"/>
      <c r="L12" s="173"/>
      <c r="M12" s="614"/>
      <c r="N12" s="1709"/>
      <c r="O12" s="1723"/>
      <c r="P12" s="1754"/>
      <c r="Q12" s="1755"/>
      <c r="S12" s="1709"/>
      <c r="U12" s="638" t="s">
        <v>2263</v>
      </c>
      <c r="V12" s="639">
        <v>4001</v>
      </c>
      <c r="W12" s="538"/>
      <c r="Y12" s="182"/>
      <c r="Z12" s="182"/>
      <c r="AA12" s="182"/>
      <c r="AB12" s="182"/>
    </row>
    <row r="13" spans="1:28" s="147" customFormat="1" ht="34.5" customHeight="1">
      <c r="A13" s="208"/>
      <c r="B13" s="588"/>
      <c r="C13" s="225" t="s">
        <v>221</v>
      </c>
      <c r="D13" s="222"/>
      <c r="E13" s="487" t="str">
        <f>IF(P7="","",MID(TEXT(P7,"000000"),1,40))</f>
        <v>000001</v>
      </c>
      <c r="F13" s="560"/>
      <c r="G13" s="558"/>
      <c r="H13" s="559" t="s">
        <v>312</v>
      </c>
      <c r="I13" s="559"/>
      <c r="J13" s="518" t="s">
        <v>215</v>
      </c>
      <c r="K13" s="582"/>
      <c r="L13" s="173"/>
      <c r="M13" s="614"/>
      <c r="N13" s="197"/>
      <c r="O13" s="226"/>
      <c r="P13" s="1738"/>
      <c r="Q13" s="1739"/>
      <c r="S13" s="1709" t="s">
        <v>224</v>
      </c>
      <c r="T13" s="224"/>
      <c r="U13" s="640"/>
      <c r="V13" s="641"/>
      <c r="W13" s="538"/>
      <c r="Y13" s="182"/>
      <c r="Z13" s="182"/>
      <c r="AA13" s="182"/>
      <c r="AB13" s="182"/>
    </row>
    <row r="14" spans="1:28" s="147" customFormat="1" ht="25.5">
      <c r="A14" s="208"/>
      <c r="B14" s="588"/>
      <c r="C14" s="311" t="s">
        <v>219</v>
      </c>
      <c r="D14" s="327"/>
      <c r="E14" s="326" t="str">
        <f>IF(c_rp_invoice_no="","",MID(P18,4,20))</f>
        <v>.ផល​ ពិសិទ្ធ</v>
      </c>
      <c r="F14" s="326"/>
      <c r="H14" s="590"/>
      <c r="I14" s="228"/>
      <c r="J14" s="519" t="s">
        <v>216</v>
      </c>
      <c r="K14" s="582"/>
      <c r="L14" s="173"/>
      <c r="M14" s="614"/>
      <c r="N14" s="197"/>
      <c r="O14" s="226"/>
      <c r="P14" s="1740"/>
      <c r="Q14" s="1741"/>
      <c r="S14" s="1709"/>
      <c r="W14" s="538"/>
      <c r="Y14" s="182"/>
      <c r="Z14" s="182"/>
      <c r="AA14" s="182"/>
      <c r="AB14" s="182"/>
    </row>
    <row r="15" spans="1:28" s="147" customFormat="1" ht="30" customHeight="1">
      <c r="A15" s="208"/>
      <c r="B15" s="588"/>
      <c r="D15" s="591"/>
      <c r="E15" s="592" t="str">
        <f>IF(OR(P18="",c_rp_invoice_no="",ISNA(VLOOKUP(Q18,saller_list,5,FALSE))),"","លេខទូរស័ព្ទ ៖ "&amp;VLOOKUP(Q18,saller_list,5,FALSE))</f>
        <v/>
      </c>
      <c r="F15" s="593"/>
      <c r="H15" s="563"/>
      <c r="I15" s="279"/>
      <c r="J15" s="486" t="s">
        <v>220</v>
      </c>
      <c r="K15" s="582"/>
      <c r="L15" s="173"/>
      <c r="M15" s="614"/>
      <c r="N15" s="608" t="s">
        <v>321</v>
      </c>
      <c r="O15" s="616"/>
      <c r="P15" s="617" t="e">
        <f>IF(c_rp_invoice_no&lt;&gt;"",SUMIF(#REF!,c_rp_invoice_no*1,#REF!),"")</f>
        <v>#REF!</v>
      </c>
      <c r="Q15" s="618"/>
      <c r="S15" s="636" t="s">
        <v>250</v>
      </c>
      <c r="T15" s="637"/>
      <c r="U15" s="1735" t="s">
        <v>536</v>
      </c>
      <c r="V15" s="1735"/>
      <c r="W15" s="538"/>
      <c r="Y15" s="182"/>
      <c r="Z15" s="182"/>
      <c r="AA15" s="182"/>
      <c r="AB15" s="182"/>
    </row>
    <row r="16" spans="1:28" s="147" customFormat="1" ht="30" customHeight="1">
      <c r="A16" s="208"/>
      <c r="B16" s="588"/>
      <c r="C16" s="225"/>
      <c r="D16" s="591"/>
      <c r="E16" s="561" t="str">
        <f>IF(OR(P18="",c_rp_invoice_no="",ISNA(VLOOKUP(Q18,saller_list,6,FALSE))),"","តេលេក្រាម ៖ "&amp;VLOOKUP(Q18,saller_list,6,FALSE))</f>
        <v/>
      </c>
      <c r="F16" s="562"/>
      <c r="G16" s="594"/>
      <c r="H16" s="268" t="s">
        <v>311</v>
      </c>
      <c r="I16" s="222"/>
      <c r="J16" s="595" t="str">
        <f>IFERROR(IF(AND(rp_total_balance_unpaid&gt;0,c_rp_invoice_no&lt;&gt;""),rp_total_balance_unpaid,0),0)</f>
        <v/>
      </c>
      <c r="K16" s="582"/>
      <c r="L16" s="173"/>
      <c r="M16" s="614"/>
      <c r="N16" s="619" t="s">
        <v>304</v>
      </c>
      <c r="O16" s="226"/>
      <c r="P16" s="1769"/>
      <c r="Q16" s="1770"/>
      <c r="W16" s="538"/>
      <c r="Y16" s="182"/>
      <c r="Z16" s="182"/>
      <c r="AA16" s="182"/>
      <c r="AB16" s="182"/>
    </row>
    <row r="17" spans="1:28" s="147" customFormat="1" ht="24.75" customHeight="1">
      <c r="A17" s="208"/>
      <c r="B17" s="588"/>
      <c r="C17" s="1742" t="s">
        <v>100</v>
      </c>
      <c r="D17" s="1743"/>
      <c r="E17" s="1744" t="str">
        <f>IF(S18="","",S18)</f>
        <v/>
      </c>
      <c r="F17" s="1744"/>
      <c r="G17" s="1744"/>
      <c r="H17" s="268" t="s">
        <v>58</v>
      </c>
      <c r="I17" s="222"/>
      <c r="J17" s="595">
        <f>IF(c_rp_discount&lt;&gt;"",c_rp_discount,0)</f>
        <v>0</v>
      </c>
      <c r="K17" s="582"/>
      <c r="L17" s="173"/>
      <c r="M17" s="614"/>
      <c r="N17" s="225"/>
      <c r="O17" s="226"/>
      <c r="P17" s="620" t="s">
        <v>245</v>
      </c>
      <c r="S17" s="565" t="s">
        <v>101</v>
      </c>
      <c r="T17" s="566"/>
      <c r="U17" s="567"/>
      <c r="V17" s="568"/>
      <c r="W17" s="621"/>
      <c r="Y17" s="182"/>
      <c r="Z17" s="182"/>
      <c r="AA17" s="182"/>
      <c r="AB17" s="182"/>
    </row>
    <row r="18" spans="1:28" s="147" customFormat="1" ht="27" customHeight="1">
      <c r="A18" s="208"/>
      <c r="B18" s="588"/>
      <c r="C18" s="1742"/>
      <c r="D18" s="1743"/>
      <c r="E18" s="1744"/>
      <c r="F18" s="1744"/>
      <c r="G18" s="1744"/>
      <c r="H18" s="268" t="s">
        <v>109</v>
      </c>
      <c r="I18" s="222"/>
      <c r="J18" s="596">
        <f>J10</f>
        <v>0</v>
      </c>
      <c r="K18" s="582"/>
      <c r="L18" s="173"/>
      <c r="M18" s="614"/>
      <c r="N18" s="311" t="s">
        <v>384</v>
      </c>
      <c r="O18" s="226"/>
      <c r="P18" s="1745" t="s">
        <v>2259</v>
      </c>
      <c r="Q18" s="1745"/>
      <c r="S18" s="1746"/>
      <c r="T18" s="1747"/>
      <c r="U18" s="1747"/>
      <c r="V18" s="1748"/>
      <c r="W18" s="621"/>
      <c r="Y18" s="182"/>
      <c r="Z18" s="182"/>
      <c r="AA18" s="182"/>
      <c r="AB18" s="182"/>
    </row>
    <row r="19" spans="1:28" s="147" customFormat="1" ht="27" customHeight="1">
      <c r="A19" s="208"/>
      <c r="B19" s="588"/>
      <c r="C19" s="204"/>
      <c r="D19" s="204"/>
      <c r="E19" s="1744"/>
      <c r="F19" s="1744"/>
      <c r="G19" s="1744"/>
      <c r="H19" s="268" t="s">
        <v>213</v>
      </c>
      <c r="I19" s="222"/>
      <c r="J19" s="595">
        <f>IFERROR(N(J16)-N(J17)-N(J18),"")</f>
        <v>0</v>
      </c>
      <c r="K19" s="582"/>
      <c r="L19" s="173"/>
      <c r="M19" s="614"/>
      <c r="N19" s="197"/>
      <c r="S19" s="1749"/>
      <c r="T19" s="1750"/>
      <c r="U19" s="1750"/>
      <c r="V19" s="1751"/>
      <c r="W19" s="621"/>
      <c r="Y19" s="182"/>
      <c r="Z19" s="182"/>
      <c r="AA19" s="182"/>
      <c r="AB19" s="182"/>
    </row>
    <row r="20" spans="1:28" s="34" customFormat="1" ht="7.5" customHeight="1">
      <c r="A20" s="208"/>
      <c r="B20" s="597"/>
      <c r="C20" s="277"/>
      <c r="D20" s="277"/>
      <c r="E20" s="598"/>
      <c r="F20" s="598"/>
      <c r="G20" s="599"/>
      <c r="H20" s="600"/>
      <c r="I20" s="600"/>
      <c r="J20" s="600"/>
      <c r="K20" s="601"/>
      <c r="L20" s="174"/>
      <c r="M20" s="622"/>
      <c r="N20" s="623"/>
      <c r="O20" s="624"/>
      <c r="P20" s="600"/>
      <c r="Q20" s="600"/>
      <c r="R20" s="600"/>
      <c r="S20" s="600"/>
      <c r="T20" s="600"/>
      <c r="U20" s="600"/>
      <c r="V20" s="600"/>
      <c r="W20" s="625"/>
      <c r="Y20" s="474"/>
      <c r="Z20" s="474"/>
      <c r="AA20" s="474"/>
      <c r="AB20" s="474"/>
    </row>
    <row r="21" spans="1:28" ht="24" customHeight="1">
      <c r="A21" s="208"/>
      <c r="B21" s="208"/>
      <c r="C21" s="204"/>
      <c r="D21" s="204"/>
      <c r="E21" s="180"/>
      <c r="F21" s="189"/>
      <c r="G21" s="220"/>
      <c r="H21" s="179"/>
      <c r="I21" s="179"/>
      <c r="J21" s="215"/>
      <c r="K21" s="195"/>
      <c r="Y21" s="129"/>
      <c r="Z21" s="129"/>
      <c r="AA21" s="129"/>
      <c r="AB21" s="129"/>
    </row>
    <row r="22" spans="1:28" ht="33.75" customHeight="1">
      <c r="M22" s="630"/>
      <c r="N22" s="631" t="s">
        <v>263</v>
      </c>
      <c r="O22" s="632"/>
      <c r="P22" s="633">
        <f>IF(OR(ISNA(VLOOKUP(c_rp_invoice_no*1,sale_invoice_data_list,11,FALSE)),c_rp_invoice_no=""),0,VLOOKUP(c_rp_invoice_no*1,sale_invoice_data_list,11,FALSE))</f>
        <v>0</v>
      </c>
      <c r="Q22" s="634" t="str">
        <f>IF(OR(ISNA(VLOOKUP(c_rp_invoice_no*1,sale_invoice_data_list,2,FALSE)),c_rp_invoice_no=""),"",VLOOKUP(c_rp_invoice_no*1,sale_invoice_data_list,2,FALSE))</f>
        <v/>
      </c>
      <c r="S22" s="268" t="s">
        <v>313</v>
      </c>
      <c r="U22" s="1764"/>
      <c r="V22" s="1765"/>
    </row>
    <row r="23" spans="1:28" ht="33.75" customHeight="1">
      <c r="M23" s="630"/>
      <c r="N23" s="631" t="s">
        <v>109</v>
      </c>
      <c r="O23" s="632"/>
      <c r="P23" s="633" t="e">
        <f>IF(c_rp_invoice_no&lt;&gt;"",SUMIF(#REF!,c_rp_invoice_no*1,#REF!),0)</f>
        <v>#REF!</v>
      </c>
      <c r="Q23" s="635"/>
    </row>
    <row r="24" spans="1:28" ht="30.75" customHeight="1">
      <c r="M24" s="630"/>
      <c r="N24" s="631" t="s">
        <v>262</v>
      </c>
      <c r="O24" s="632"/>
      <c r="P24" s="633">
        <f>IF(OR(ISNA(VLOOKUP(c_rp_invoice_no*1,sale_invoice_data_list,12,FALSE)),c_rp_invoice_no=""),0,VLOOKUP(c_rp_invoice_no*1,sale_invoice_data_list,12,FALSE))</f>
        <v>0</v>
      </c>
      <c r="Q24" s="635"/>
    </row>
    <row r="25" spans="1:28" ht="37.5" customHeight="1">
      <c r="M25" s="628"/>
      <c r="N25" s="629" t="s">
        <v>309</v>
      </c>
      <c r="O25" s="626"/>
      <c r="P25" s="627" t="str">
        <f>IF(c_rp_invoice_no&lt;&gt;"",IF(ISNA(VLOOKUP(c_rp_invoice_no,sale_invoice_data_list,14,FALSE)),"",VLOOKUP(c_rp_invoice_no,sale_invoice_data_list,14,FALSE)),0)</f>
        <v/>
      </c>
      <c r="Q25" s="540"/>
    </row>
    <row r="26" spans="1:28" ht="24" customHeight="1">
      <c r="H26" s="6"/>
      <c r="I26" s="6"/>
      <c r="J26" s="216"/>
      <c r="K26" s="217"/>
    </row>
    <row r="27" spans="1:28" ht="24" customHeight="1">
      <c r="C27" s="5"/>
      <c r="D27" s="221"/>
      <c r="F27" s="8"/>
      <c r="G27" s="8"/>
      <c r="H27" s="6"/>
      <c r="I27" s="6"/>
    </row>
    <row r="28" spans="1:28" ht="24" customHeight="1">
      <c r="C28" s="5"/>
      <c r="D28" s="221"/>
      <c r="G28" s="8"/>
      <c r="H28" s="6"/>
      <c r="I28" s="6"/>
    </row>
    <row r="29" spans="1:28" ht="24" customHeight="1">
      <c r="C29" s="5"/>
      <c r="D29" s="221"/>
      <c r="G29" s="8"/>
      <c r="H29" s="6"/>
      <c r="I29" s="6"/>
    </row>
    <row r="30" spans="1:28" ht="24" customHeight="1">
      <c r="C30" s="5"/>
      <c r="D30" s="221"/>
      <c r="G30" s="8"/>
      <c r="H30" s="6"/>
      <c r="I30" s="6"/>
    </row>
    <row r="31" spans="1:28" ht="24" customHeight="1">
      <c r="C31" s="5"/>
      <c r="D31" s="221"/>
      <c r="G31" s="8"/>
      <c r="H31" s="6"/>
      <c r="I31" s="6"/>
    </row>
    <row r="32" spans="1:28" ht="24" customHeight="1">
      <c r="C32" s="5"/>
      <c r="D32" s="221"/>
      <c r="G32" s="8"/>
      <c r="H32" s="6"/>
      <c r="I32" s="6"/>
    </row>
    <row r="33" spans="1:22" ht="24" customHeight="1">
      <c r="C33" s="5"/>
      <c r="D33" s="221"/>
      <c r="G33" s="8"/>
      <c r="H33" s="6"/>
      <c r="I33" s="6"/>
    </row>
    <row r="34" spans="1:22" ht="24" customHeight="1">
      <c r="C34" s="5"/>
      <c r="D34" s="221"/>
      <c r="G34" s="8"/>
      <c r="H34" s="6"/>
      <c r="I34" s="6"/>
    </row>
    <row r="35" spans="1:22" s="133" customFormat="1" ht="24" customHeight="1">
      <c r="A35" s="47"/>
      <c r="B35" s="47"/>
      <c r="C35" s="5"/>
      <c r="D35" s="221"/>
      <c r="E35" s="5"/>
      <c r="F35" s="5"/>
      <c r="G35" s="8"/>
      <c r="H35" s="6"/>
      <c r="I35" s="6"/>
      <c r="J35" s="213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1"/>
      <c r="E36" s="5"/>
      <c r="F36" s="5"/>
      <c r="G36" s="8"/>
      <c r="H36" s="6"/>
      <c r="I36" s="6"/>
      <c r="J36" s="213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1"/>
      <c r="E37" s="5"/>
      <c r="F37" s="5"/>
      <c r="G37" s="8"/>
      <c r="H37" s="6"/>
      <c r="I37" s="6"/>
      <c r="J37" s="213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1"/>
      <c r="E38" s="5"/>
      <c r="F38" s="5"/>
      <c r="G38" s="8"/>
      <c r="H38" s="6"/>
      <c r="I38" s="6"/>
      <c r="J38" s="213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1"/>
      <c r="E39" s="5"/>
      <c r="F39" s="5"/>
      <c r="G39" s="8"/>
      <c r="H39" s="6"/>
      <c r="I39" s="6"/>
      <c r="J39" s="213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1"/>
      <c r="E40" s="5"/>
      <c r="F40" s="5"/>
      <c r="G40" s="8"/>
      <c r="H40" s="6"/>
      <c r="I40" s="6"/>
      <c r="J40" s="213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1"/>
      <c r="E41" s="5"/>
      <c r="F41" s="5"/>
      <c r="G41" s="8"/>
      <c r="H41" s="6"/>
      <c r="I41" s="6"/>
      <c r="J41" s="213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1"/>
      <c r="E42" s="5"/>
      <c r="F42" s="5"/>
      <c r="G42" s="8"/>
      <c r="H42" s="6"/>
      <c r="I42" s="6"/>
      <c r="J42" s="213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1"/>
      <c r="E43" s="5"/>
      <c r="F43" s="5"/>
      <c r="G43" s="8"/>
      <c r="H43" s="6"/>
      <c r="I43" s="6"/>
      <c r="J43" s="213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1"/>
      <c r="E44" s="5"/>
      <c r="F44" s="5"/>
      <c r="G44" s="8"/>
      <c r="H44" s="6"/>
      <c r="I44" s="6"/>
      <c r="J44" s="213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D17:D18"/>
    <mergeCell ref="C17:C18"/>
    <mergeCell ref="B1:K1"/>
    <mergeCell ref="P11:Q12"/>
    <mergeCell ref="N11:N12"/>
    <mergeCell ref="O11:O12"/>
    <mergeCell ref="N7:N8"/>
    <mergeCell ref="P7:P8"/>
    <mergeCell ref="O7:O8"/>
    <mergeCell ref="Q7:Q8"/>
    <mergeCell ref="E17:G19"/>
    <mergeCell ref="P16:Q16"/>
    <mergeCell ref="N1:W1"/>
    <mergeCell ref="S18:V19"/>
    <mergeCell ref="U15:V15"/>
    <mergeCell ref="U11:V11"/>
    <mergeCell ref="U22:V22"/>
    <mergeCell ref="U7:U8"/>
    <mergeCell ref="P13:Q14"/>
    <mergeCell ref="S11:S12"/>
    <mergeCell ref="S13:S14"/>
    <mergeCell ref="S7:S8"/>
    <mergeCell ref="T7:T8"/>
    <mergeCell ref="P18:Q18"/>
  </mergeCells>
  <dataValidations count="8">
    <dataValidation type="whole" operator="greaterThanOrEqual" allowBlank="1" showInputMessage="1" showErrorMessage="1" error="បញ្ចូលបានលេ,សូមបញ្ចូលម្តងទៀត។" sqref="J10" xr:uid="{F2BD64CC-D575-4244-B131-93589452D556}">
      <formula1>0</formula1>
    </dataValidation>
    <dataValidation type="list" allowBlank="1" showInputMessage="1" showErrorMessage="1" sqref="P5" xr:uid="{1CD5BE52-9AA0-4DC2-AA8F-E7BEC9A283B1}">
      <formula1>branch_option</formula1>
    </dataValidation>
    <dataValidation type="list" allowBlank="1" showInputMessage="1" showErrorMessage="1" sqref="U5" xr:uid="{E04D2EF4-3AD6-47C2-9C38-4E74B93789C0}">
      <formula1>IF(Q5="","",iow_1)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8" xr:uid="{55215659-BBC3-4A33-A991-025088917AAA}">
      <formula1>saller_option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98588033-E08A-4475-AD9E-EF596C46F5CA}">
      <formula1>1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V15" xr:uid="{E5AB7A93-FDAF-4FED-9A9B-A6BD4415A462}">
      <formula1>module_type_option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7" name="Button 9">
              <controlPr defaultSize="0" print="0" autoFill="0" autoPict="0" macro="[0]!CurrentDate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1" r:id="rId8" name="Button 13">
              <controlPr defaultSize="0" print="0" autoFill="0" autoPict="0" macro="[0]!ExchangeRateReceivePayment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4" r:id="rId9" name="Button 16">
              <controlPr defaultSize="0" print="0" autoFill="0" autoPict="0" macro="[0]!SaveReceivePayment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9" r:id="rId10" name="Button 21">
              <controlPr defaultSize="0" print="0" autoFill="0" autoPict="0" macro="[0]!copyReceivePayment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6" r:id="rId11" name="Button 2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7" r:id="rId12" name="Button 2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9" r:id="rId13" name="Button 31">
              <controlPr defaultSize="0" print="0" autoFill="0" autoPict="0" macro="[0]!goToHome" altText="ទំព័រដើម">
                <anchor moveWithCells="1" siz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1009650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rgb="FFFF6600"/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pane="bottomLeft" activeCell="D11" sqref="D1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7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4" name="Button 1">
              <controlPr defaultSize="0" print="0" autoFill="0" autoPict="0" macro="[0]!ExchangeWbsd1">
                <anchor moveWithCells="1" sizeWithCells="1">
                  <from>
                    <xdr:col>11</xdr:col>
                    <xdr:colOff>19050</xdr:colOff>
                    <xdr:row>2</xdr:row>
                    <xdr:rowOff>152400</xdr:rowOff>
                  </from>
                  <to>
                    <xdr:col>12</xdr:col>
                    <xdr:colOff>1219200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5" name="Button 4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9525</xdr:colOff>
                    <xdr:row>2</xdr:row>
                    <xdr:rowOff>57150</xdr:rowOff>
                  </from>
                  <to>
                    <xdr:col>1</xdr:col>
                    <xdr:colOff>1095375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>
    <tabColor rgb="FF00B050"/>
  </sheetPr>
  <dimension ref="C1:K22"/>
  <sheetViews>
    <sheetView showGridLines="0" zoomScaleNormal="100" zoomScaleSheetLayoutView="98" workbookViewId="0">
      <pane ySplit="6" topLeftCell="A7" activePane="bottomLeft" state="frozen"/>
      <selection pane="bottomLeft" activeCell="H12" sqref="H12"/>
    </sheetView>
  </sheetViews>
  <sheetFormatPr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127" customWidth="1"/>
    <col min="6" max="6" width="22.85546875" style="128" customWidth="1"/>
    <col min="7" max="7" width="25.42578125" style="181" customWidth="1"/>
    <col min="8" max="8" width="32.28515625" style="128" bestFit="1" customWidth="1"/>
    <col min="9" max="9" width="16.85546875" style="127" customWidth="1"/>
    <col min="10" max="10" width="23.5703125" style="127" customWidth="1"/>
    <col min="11" max="11" width="19.5703125" style="188" bestFit="1" customWidth="1"/>
    <col min="12" max="16384" width="9.140625" style="128"/>
  </cols>
  <sheetData>
    <row r="1" spans="3:11" ht="6.75" hidden="1" customHeight="1"/>
    <row r="2" spans="3:11" ht="6.75" hidden="1" customHeight="1"/>
    <row r="3" spans="3:11" ht="41.25" customHeight="1">
      <c r="C3" s="1771" t="s">
        <v>414</v>
      </c>
      <c r="D3" s="1771"/>
      <c r="E3" s="1771"/>
      <c r="F3" s="1771"/>
      <c r="G3" s="1771"/>
      <c r="H3" s="1771"/>
      <c r="I3" s="1771"/>
      <c r="J3" s="1771"/>
    </row>
    <row r="4" spans="3:11" ht="10.5" hidden="1" customHeight="1"/>
    <row r="5" spans="3:11" ht="25.5" customHeight="1">
      <c r="C5" s="997" t="s">
        <v>365</v>
      </c>
      <c r="D5" s="382" t="s">
        <v>409</v>
      </c>
      <c r="E5" s="382" t="s">
        <v>410</v>
      </c>
      <c r="F5" s="382" t="s">
        <v>411</v>
      </c>
      <c r="G5" s="382" t="s">
        <v>145</v>
      </c>
      <c r="H5" s="382" t="s">
        <v>412</v>
      </c>
      <c r="I5" s="382" t="s">
        <v>147</v>
      </c>
      <c r="J5" s="382" t="s">
        <v>101</v>
      </c>
    </row>
    <row r="6" spans="3:11" ht="18" customHeight="1">
      <c r="C6" s="389" t="s">
        <v>11</v>
      </c>
      <c r="D6" s="389" t="s">
        <v>136</v>
      </c>
      <c r="E6" s="389" t="s">
        <v>137</v>
      </c>
      <c r="F6" s="389" t="s">
        <v>19</v>
      </c>
      <c r="G6" s="389" t="s">
        <v>138</v>
      </c>
      <c r="H6" s="389" t="s">
        <v>139</v>
      </c>
      <c r="I6" s="389" t="s">
        <v>30</v>
      </c>
      <c r="J6" s="389" t="s">
        <v>106</v>
      </c>
    </row>
    <row r="7" spans="3:11" ht="24.95" customHeight="1">
      <c r="C7" s="384">
        <v>1</v>
      </c>
      <c r="D7" s="384" t="s">
        <v>2641</v>
      </c>
      <c r="E7" s="385" t="s">
        <v>2626</v>
      </c>
      <c r="F7" s="386" t="s">
        <v>2634</v>
      </c>
      <c r="G7" s="386" t="s">
        <v>2633</v>
      </c>
      <c r="H7" s="386"/>
      <c r="I7" s="385"/>
      <c r="J7" s="385"/>
      <c r="K7" s="188" t="str">
        <f>IF(AND(C7&lt;&gt;"",E7&lt;&gt;""),TEXT(C7,"000")&amp;"."&amp;E7&amp;" ("&amp;F7&amp;")","")</f>
        <v>001.កែវ វណ្ណា (Keo Vanna)</v>
      </c>
    </row>
    <row r="8" spans="3:11" ht="24.95" customHeight="1">
      <c r="C8" s="384">
        <v>2</v>
      </c>
      <c r="D8" s="384" t="s">
        <v>2642</v>
      </c>
      <c r="E8" s="385" t="s">
        <v>2627</v>
      </c>
      <c r="F8" s="386" t="s">
        <v>2635</v>
      </c>
      <c r="G8" s="386" t="s">
        <v>2633</v>
      </c>
      <c r="H8" s="386"/>
      <c r="I8" s="385"/>
      <c r="J8" s="385"/>
      <c r="K8" s="188" t="str">
        <f t="shared" ref="K8:K22" si="0">IF(AND(C8&lt;&gt;"",E8&lt;&gt;""),TEXT(C8,"000")&amp;"."&amp;E8&amp;" ("&amp;F8&amp;")","")</f>
        <v>002.សុខ សុភ័ក្រ (Sok Sopheak)</v>
      </c>
    </row>
    <row r="9" spans="3:11">
      <c r="C9" s="384">
        <v>3</v>
      </c>
      <c r="D9" s="384" t="s">
        <v>2643</v>
      </c>
      <c r="E9" s="385" t="s">
        <v>2628</v>
      </c>
      <c r="F9" s="386" t="s">
        <v>2636</v>
      </c>
      <c r="G9" s="386" t="s">
        <v>2633</v>
      </c>
      <c r="H9" s="386"/>
      <c r="I9" s="385"/>
      <c r="J9" s="385"/>
      <c r="K9" s="188" t="str">
        <f t="shared" si="0"/>
        <v>003.សូ ម៉ាលី (So Maly)</v>
      </c>
    </row>
    <row r="10" spans="3:11" ht="24.95" customHeight="1">
      <c r="C10" s="384">
        <v>4</v>
      </c>
      <c r="D10" s="384" t="s">
        <v>2644</v>
      </c>
      <c r="E10" s="385" t="s">
        <v>2629</v>
      </c>
      <c r="F10" s="386" t="s">
        <v>2637</v>
      </c>
      <c r="G10" s="386" t="s">
        <v>2633</v>
      </c>
      <c r="H10" s="386"/>
      <c r="I10" s="385"/>
      <c r="J10" s="385"/>
      <c r="K10" s="188" t="str">
        <f t="shared" si="0"/>
        <v>004.រចនា (Rachana)</v>
      </c>
    </row>
    <row r="11" spans="3:11" ht="24.95" customHeight="1">
      <c r="C11" s="384">
        <v>5</v>
      </c>
      <c r="D11" s="384" t="s">
        <v>2645</v>
      </c>
      <c r="E11" s="385" t="s">
        <v>2630</v>
      </c>
      <c r="F11" s="386" t="s">
        <v>2638</v>
      </c>
      <c r="G11" s="386" t="s">
        <v>2633</v>
      </c>
      <c r="H11" s="386"/>
      <c r="I11" s="385"/>
      <c r="J11" s="385"/>
      <c r="K11" s="188" t="str">
        <f t="shared" si="0"/>
        <v>005.សីហា (Seyha)</v>
      </c>
    </row>
    <row r="12" spans="3:11" ht="24.95" customHeight="1">
      <c r="C12" s="384">
        <v>6</v>
      </c>
      <c r="D12" s="384" t="s">
        <v>2646</v>
      </c>
      <c r="E12" s="385" t="s">
        <v>2295</v>
      </c>
      <c r="F12" s="386" t="s">
        <v>2296</v>
      </c>
      <c r="G12" s="386" t="s">
        <v>2633</v>
      </c>
      <c r="H12" s="386"/>
      <c r="I12" s="385"/>
      <c r="J12" s="385"/>
      <c r="K12" s="188" t="str">
        <f t="shared" si="0"/>
        <v>006.សុភ័កត្រា (Sopheaktra)</v>
      </c>
    </row>
    <row r="13" spans="3:11">
      <c r="C13" s="384">
        <v>7</v>
      </c>
      <c r="D13" s="384" t="s">
        <v>2647</v>
      </c>
      <c r="E13" s="385" t="s">
        <v>2631</v>
      </c>
      <c r="F13" s="386" t="s">
        <v>2639</v>
      </c>
      <c r="G13" s="386" t="s">
        <v>2633</v>
      </c>
      <c r="H13" s="386"/>
      <c r="I13" s="385"/>
      <c r="J13" s="385"/>
      <c r="K13" s="188" t="str">
        <f t="shared" si="0"/>
        <v>007.កក្កដា (Kakada)</v>
      </c>
    </row>
    <row r="14" spans="3:11">
      <c r="C14" s="384">
        <v>8</v>
      </c>
      <c r="D14" s="384" t="s">
        <v>2648</v>
      </c>
      <c r="E14" s="385" t="s">
        <v>2632</v>
      </c>
      <c r="F14" s="386" t="s">
        <v>2640</v>
      </c>
      <c r="G14" s="386" t="s">
        <v>2633</v>
      </c>
      <c r="H14" s="386"/>
      <c r="I14" s="385"/>
      <c r="J14" s="385"/>
      <c r="K14" s="188" t="str">
        <f t="shared" si="0"/>
        <v>008.តុលា (Tola)</v>
      </c>
    </row>
    <row r="15" spans="3:11">
      <c r="C15" s="384"/>
      <c r="D15" s="384"/>
      <c r="E15" s="385"/>
      <c r="F15" s="386"/>
      <c r="G15" s="387"/>
      <c r="H15" s="386"/>
      <c r="I15" s="385"/>
      <c r="J15" s="385"/>
      <c r="K15" s="188" t="str">
        <f t="shared" si="0"/>
        <v/>
      </c>
    </row>
    <row r="16" spans="3:11">
      <c r="C16" s="384"/>
      <c r="D16" s="384"/>
      <c r="E16" s="385"/>
      <c r="F16" s="386"/>
      <c r="G16" s="387"/>
      <c r="H16" s="386"/>
      <c r="I16" s="385"/>
      <c r="J16" s="385"/>
      <c r="K16" s="188" t="str">
        <f t="shared" si="0"/>
        <v/>
      </c>
    </row>
    <row r="17" spans="3:11">
      <c r="C17" s="384"/>
      <c r="D17" s="384"/>
      <c r="E17" s="385"/>
      <c r="F17" s="386"/>
      <c r="G17" s="387"/>
      <c r="H17" s="386"/>
      <c r="I17" s="385"/>
      <c r="J17" s="385"/>
      <c r="K17" s="188" t="str">
        <f t="shared" si="0"/>
        <v/>
      </c>
    </row>
    <row r="18" spans="3:11">
      <c r="C18" s="384"/>
      <c r="D18" s="384"/>
      <c r="E18" s="385"/>
      <c r="F18" s="386"/>
      <c r="G18" s="387"/>
      <c r="H18" s="386"/>
      <c r="I18" s="385"/>
      <c r="J18" s="385"/>
      <c r="K18" s="188" t="str">
        <f t="shared" si="0"/>
        <v/>
      </c>
    </row>
    <row r="19" spans="3:11">
      <c r="C19" s="384"/>
      <c r="D19" s="384"/>
      <c r="E19" s="385"/>
      <c r="F19" s="386"/>
      <c r="G19" s="387"/>
      <c r="H19" s="386"/>
      <c r="I19" s="385"/>
      <c r="J19" s="385"/>
      <c r="K19" s="188" t="str">
        <f t="shared" si="0"/>
        <v/>
      </c>
    </row>
    <row r="20" spans="3:11">
      <c r="C20" s="384"/>
      <c r="D20" s="384"/>
      <c r="E20" s="385"/>
      <c r="F20" s="386"/>
      <c r="G20" s="387"/>
      <c r="H20" s="386"/>
      <c r="I20" s="385"/>
      <c r="J20" s="385"/>
      <c r="K20" s="188" t="str">
        <f t="shared" si="0"/>
        <v/>
      </c>
    </row>
    <row r="21" spans="3:11">
      <c r="C21" s="384"/>
      <c r="D21" s="384"/>
      <c r="E21" s="385"/>
      <c r="F21" s="386"/>
      <c r="G21" s="387"/>
      <c r="H21" s="386"/>
      <c r="I21" s="385"/>
      <c r="J21" s="385"/>
      <c r="K21" s="188" t="str">
        <f t="shared" si="0"/>
        <v/>
      </c>
    </row>
    <row r="22" spans="3:11">
      <c r="C22" s="384"/>
      <c r="D22" s="384"/>
      <c r="E22" s="385"/>
      <c r="F22" s="386"/>
      <c r="G22" s="387"/>
      <c r="H22" s="386"/>
      <c r="I22" s="385"/>
      <c r="J22" s="385"/>
      <c r="K22" s="188" t="str">
        <f t="shared" si="0"/>
        <v/>
      </c>
    </row>
  </sheetData>
  <mergeCells count="1">
    <mergeCell ref="C3:J3"/>
  </mergeCells>
  <phoneticPr fontId="37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22" r:id="rId4" name="Button 2">
              <controlPr defaultSize="0" print="0" autoFill="0" autoPict="0" macro="[0]!goToHome">
                <anchor moveWithCells="1" sizeWithCells="1">
                  <from>
                    <xdr:col>10</xdr:col>
                    <xdr:colOff>142875</xdr:colOff>
                    <xdr:row>4</xdr:row>
                    <xdr:rowOff>0</xdr:rowOff>
                  </from>
                  <to>
                    <xdr:col>10</xdr:col>
                    <xdr:colOff>1095375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C8" sqref="C8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381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1298"/>
      <c r="B3" s="1298"/>
      <c r="C3" s="1298"/>
      <c r="D3" s="1298"/>
      <c r="E3" s="1298"/>
      <c r="F3" s="1298"/>
      <c r="G3" s="1298"/>
      <c r="H3" s="1298"/>
      <c r="I3" s="1291"/>
      <c r="J3" s="1291"/>
      <c r="K3" s="1291"/>
    </row>
    <row r="4" spans="1:12" ht="6.75" hidden="1" customHeight="1"/>
    <row r="5" spans="1:12" ht="5.25" customHeight="1"/>
    <row r="6" spans="1:12" ht="24.75" customHeight="1">
      <c r="A6" s="420" t="s">
        <v>59</v>
      </c>
      <c r="B6" s="420" t="s">
        <v>2484</v>
      </c>
      <c r="C6" s="420" t="s">
        <v>2483</v>
      </c>
      <c r="D6" s="420" t="s">
        <v>236</v>
      </c>
      <c r="E6" s="420" t="s">
        <v>237</v>
      </c>
      <c r="F6" s="420" t="s">
        <v>237</v>
      </c>
      <c r="G6" s="420" t="s">
        <v>2486</v>
      </c>
      <c r="H6" s="420" t="s">
        <v>146</v>
      </c>
      <c r="I6" s="1292" t="s">
        <v>101</v>
      </c>
      <c r="J6" s="1292" t="s">
        <v>839</v>
      </c>
      <c r="K6" s="1292" t="s">
        <v>264</v>
      </c>
      <c r="L6" s="179"/>
    </row>
    <row r="7" spans="1:12" s="154" customFormat="1" ht="16.5" customHeight="1">
      <c r="A7" s="478" t="s">
        <v>10</v>
      </c>
      <c r="B7" s="478" t="s">
        <v>869</v>
      </c>
      <c r="C7" s="478" t="s">
        <v>342</v>
      </c>
      <c r="D7" s="478" t="s">
        <v>2491</v>
      </c>
      <c r="E7" s="478" t="s">
        <v>2492</v>
      </c>
      <c r="F7" s="478" t="s">
        <v>2493</v>
      </c>
      <c r="G7" s="478" t="s">
        <v>2494</v>
      </c>
      <c r="H7" s="478" t="s">
        <v>139</v>
      </c>
      <c r="I7" s="478" t="s">
        <v>106</v>
      </c>
      <c r="J7" s="478" t="s">
        <v>824</v>
      </c>
      <c r="K7" s="478" t="s">
        <v>2023</v>
      </c>
      <c r="L7" s="254"/>
    </row>
    <row r="8" spans="1:12" ht="21.95" customHeight="1">
      <c r="A8" s="1293">
        <v>1</v>
      </c>
      <c r="B8" s="1293"/>
      <c r="C8" s="1293"/>
      <c r="D8" s="1293"/>
      <c r="E8" s="1294" t="s">
        <v>235</v>
      </c>
      <c r="F8" s="1295" t="s">
        <v>240</v>
      </c>
      <c r="G8" s="1295"/>
      <c r="H8" s="1296"/>
      <c r="I8" s="1295"/>
      <c r="J8" s="1295"/>
      <c r="K8" s="1295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1293"/>
      <c r="B9" s="1293"/>
      <c r="C9" s="1293"/>
      <c r="D9" s="1293"/>
      <c r="E9" s="1294"/>
      <c r="F9" s="1295"/>
      <c r="G9" s="1295"/>
      <c r="H9" s="1296"/>
      <c r="I9" s="1295"/>
      <c r="J9" s="1295"/>
      <c r="K9" s="1295"/>
    </row>
    <row r="10" spans="1:12" ht="21.95" customHeight="1">
      <c r="A10" s="1293"/>
      <c r="B10" s="1293"/>
      <c r="C10" s="1293"/>
      <c r="D10" s="1293"/>
      <c r="E10" s="1294"/>
      <c r="F10" s="1295"/>
      <c r="G10" s="1295"/>
      <c r="H10" s="1296"/>
      <c r="I10" s="1295"/>
      <c r="J10" s="1295"/>
      <c r="K10" s="1295"/>
    </row>
    <row r="11" spans="1:12" ht="21.95" customHeight="1">
      <c r="A11" s="1293"/>
      <c r="B11" s="1293"/>
      <c r="C11" s="1293"/>
      <c r="D11" s="1293"/>
      <c r="E11" s="1294"/>
      <c r="F11" s="1295"/>
      <c r="G11" s="1295"/>
      <c r="H11" s="1296"/>
      <c r="I11" s="1295"/>
      <c r="J11" s="1295"/>
      <c r="K11" s="1295"/>
    </row>
    <row r="12" spans="1:12" ht="21.95" customHeight="1">
      <c r="A12" s="1293"/>
      <c r="B12" s="1293"/>
      <c r="C12" s="1293"/>
      <c r="D12" s="1293"/>
      <c r="E12" s="1294"/>
      <c r="F12" s="1295"/>
      <c r="G12" s="1295"/>
      <c r="H12" s="1296"/>
      <c r="I12" s="1295"/>
      <c r="J12" s="1295"/>
      <c r="K12" s="1295"/>
    </row>
    <row r="13" spans="1:12" ht="21.95" customHeight="1">
      <c r="A13" s="1293"/>
      <c r="B13" s="1293"/>
      <c r="C13" s="1293"/>
      <c r="D13" s="1293"/>
      <c r="E13" s="1294"/>
      <c r="F13" s="1295"/>
      <c r="G13" s="1295"/>
      <c r="H13" s="1296"/>
      <c r="I13" s="1295"/>
      <c r="J13" s="1295"/>
      <c r="K13" s="1295"/>
    </row>
    <row r="14" spans="1:12" ht="21.95" customHeight="1">
      <c r="A14" s="1293"/>
      <c r="B14" s="1293"/>
      <c r="C14" s="1293"/>
      <c r="D14" s="1293"/>
      <c r="E14" s="1294"/>
      <c r="F14" s="1295"/>
      <c r="G14" s="1295"/>
      <c r="H14" s="1296"/>
      <c r="I14" s="1295"/>
      <c r="J14" s="1295"/>
      <c r="K14" s="1295"/>
    </row>
    <row r="15" spans="1:12" ht="21.95" customHeight="1">
      <c r="A15" s="1293"/>
      <c r="B15" s="1293"/>
      <c r="C15" s="1293"/>
      <c r="D15" s="1293"/>
      <c r="E15" s="1294"/>
      <c r="F15" s="1295"/>
      <c r="G15" s="1295"/>
      <c r="H15" s="1296"/>
      <c r="I15" s="1295"/>
      <c r="J15" s="1295"/>
      <c r="K15" s="1295"/>
    </row>
    <row r="16" spans="1:12" ht="21.95" customHeight="1">
      <c r="A16" s="1293"/>
      <c r="B16" s="1293"/>
      <c r="C16" s="1293"/>
      <c r="D16" s="1293"/>
      <c r="E16" s="1294"/>
      <c r="F16" s="1295"/>
      <c r="G16" s="1295"/>
      <c r="H16" s="1296"/>
      <c r="I16" s="1295"/>
      <c r="J16" s="1295"/>
      <c r="K16" s="1295"/>
    </row>
    <row r="17" spans="1:12" ht="21.95" customHeight="1">
      <c r="A17" s="1293"/>
      <c r="B17" s="1293"/>
      <c r="C17" s="1293"/>
      <c r="D17" s="1293"/>
      <c r="E17" s="1294"/>
      <c r="F17" s="1295"/>
      <c r="G17" s="1295"/>
      <c r="H17" s="1296"/>
      <c r="I17" s="1295"/>
      <c r="J17" s="1295"/>
      <c r="K17" s="1295"/>
      <c r="L17" s="145" t="str">
        <f t="shared" ref="L17:L80" si="0">IF(AND(A17&lt;&gt;"",E17&lt;&gt;""),TEXT(A17,"000")&amp;"."&amp;E17,"")</f>
        <v/>
      </c>
    </row>
    <row r="18" spans="1:12" ht="21.95" customHeight="1">
      <c r="A18" s="1293"/>
      <c r="B18" s="1293"/>
      <c r="C18" s="1293"/>
      <c r="D18" s="1293"/>
      <c r="E18" s="1294"/>
      <c r="F18" s="1295"/>
      <c r="G18" s="1295"/>
      <c r="H18" s="1297"/>
      <c r="I18" s="1295"/>
      <c r="J18" s="1295"/>
      <c r="K18" s="1295"/>
      <c r="L18" s="145" t="str">
        <f t="shared" si="0"/>
        <v/>
      </c>
    </row>
    <row r="19" spans="1:12" ht="21.95" customHeight="1">
      <c r="A19" s="1293"/>
      <c r="B19" s="1293"/>
      <c r="C19" s="1293"/>
      <c r="D19" s="1293"/>
      <c r="E19" s="1295"/>
      <c r="F19" s="1295"/>
      <c r="G19" s="1295"/>
      <c r="H19" s="1297"/>
      <c r="I19" s="1295"/>
      <c r="J19" s="1295"/>
      <c r="K19" s="1295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8801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0</xdr:col>
                    <xdr:colOff>190500</xdr:colOff>
                    <xdr:row>1</xdr:row>
                    <xdr:rowOff>133350</xdr:rowOff>
                  </from>
                  <to>
                    <xdr:col>1</xdr:col>
                    <xdr:colOff>904875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U10"/>
  <sheetViews>
    <sheetView showGridLines="0" topLeftCell="A2" zoomScale="80" zoomScaleNormal="80" workbookViewId="0">
      <pane ySplit="6" topLeftCell="A8" activePane="bottomLeft" state="frozen"/>
      <selection pane="bottomLeft" activeCell="J10" sqref="J10"/>
    </sheetView>
  </sheetViews>
  <sheetFormatPr defaultColWidth="8.7109375" defaultRowHeight="21.95" customHeight="1"/>
  <cols>
    <col min="1" max="2" width="4.85546875" style="145" customWidth="1"/>
    <col min="3" max="3" width="7.85546875" style="126" customWidth="1"/>
    <col min="4" max="4" width="14.140625" style="126" customWidth="1"/>
    <col min="5" max="5" width="19.42578125" style="126" customWidth="1"/>
    <col min="6" max="6" width="29.42578125" style="145" bestFit="1" customWidth="1"/>
    <col min="7" max="7" width="20.5703125" style="145" customWidth="1"/>
    <col min="8" max="8" width="18.140625" style="145" customWidth="1"/>
    <col min="9" max="9" width="25.7109375" style="145" bestFit="1" customWidth="1"/>
    <col min="10" max="10" width="18.140625" style="145" customWidth="1"/>
    <col min="11" max="12" width="17.28515625" style="152" customWidth="1"/>
    <col min="13" max="13" width="23.28515625" style="152" bestFit="1" customWidth="1"/>
    <col min="14" max="14" width="23.42578125" style="152" bestFit="1" customWidth="1"/>
    <col min="15" max="15" width="15.85546875" style="152" bestFit="1" customWidth="1"/>
    <col min="16" max="16" width="37.42578125" style="145" customWidth="1"/>
    <col min="17" max="17" width="32.42578125" style="145" customWidth="1"/>
    <col min="18" max="18" width="37.42578125" style="144" customWidth="1"/>
    <col min="19" max="19" width="27.5703125" style="145" customWidth="1"/>
    <col min="20" max="20" width="13.42578125" style="145" customWidth="1"/>
    <col min="21" max="21" width="42" style="145" customWidth="1"/>
    <col min="22" max="22" width="64.28515625" style="145" customWidth="1"/>
    <col min="23" max="16384" width="8.7109375" style="145"/>
  </cols>
  <sheetData>
    <row r="1" spans="3:21" ht="21.95" hidden="1" customHeight="1"/>
    <row r="2" spans="3:21" ht="12" customHeight="1"/>
    <row r="3" spans="3:21" ht="42">
      <c r="C3" s="1772" t="s">
        <v>1722</v>
      </c>
      <c r="D3" s="1772"/>
      <c r="E3" s="1772"/>
      <c r="F3" s="1772"/>
      <c r="G3" s="1772"/>
      <c r="H3" s="1772"/>
      <c r="I3" s="1772"/>
      <c r="J3" s="1772"/>
      <c r="K3" s="1772"/>
      <c r="L3" s="1772"/>
      <c r="M3" s="1772"/>
      <c r="N3" s="1772"/>
      <c r="O3" s="1772"/>
      <c r="P3" s="1772"/>
      <c r="Q3" s="1291"/>
      <c r="R3" s="1291"/>
      <c r="S3" s="1291"/>
      <c r="T3" s="1291"/>
    </row>
    <row r="4" spans="3:21" ht="6.75" hidden="1" customHeight="1"/>
    <row r="5" spans="3:21" ht="5.25" customHeight="1"/>
    <row r="6" spans="3:21" ht="24.75" customHeight="1">
      <c r="C6" s="420" t="s">
        <v>59</v>
      </c>
      <c r="D6" s="420" t="s">
        <v>2483</v>
      </c>
      <c r="E6" s="420" t="s">
        <v>236</v>
      </c>
      <c r="F6" s="420" t="s">
        <v>237</v>
      </c>
      <c r="G6" s="420" t="s">
        <v>237</v>
      </c>
      <c r="H6" s="420" t="s">
        <v>2486</v>
      </c>
      <c r="I6" s="420" t="s">
        <v>2507</v>
      </c>
      <c r="J6" s="420" t="s">
        <v>2487</v>
      </c>
      <c r="K6" s="420" t="s">
        <v>2488</v>
      </c>
      <c r="L6" s="420" t="s">
        <v>2489</v>
      </c>
      <c r="M6" s="420" t="s">
        <v>146</v>
      </c>
      <c r="N6" s="420" t="s">
        <v>2495</v>
      </c>
      <c r="O6" s="420" t="s">
        <v>412</v>
      </c>
      <c r="P6" s="420" t="s">
        <v>147</v>
      </c>
      <c r="Q6" s="1292" t="s">
        <v>101</v>
      </c>
      <c r="R6" s="1292" t="s">
        <v>839</v>
      </c>
      <c r="S6" s="1292" t="s">
        <v>2490</v>
      </c>
      <c r="T6" s="1292" t="s">
        <v>264</v>
      </c>
      <c r="U6" s="179"/>
    </row>
    <row r="7" spans="3:21" s="154" customFormat="1" ht="16.5" customHeight="1">
      <c r="C7" s="478" t="s">
        <v>10</v>
      </c>
      <c r="D7" s="478" t="s">
        <v>2478</v>
      </c>
      <c r="E7" s="478" t="s">
        <v>234</v>
      </c>
      <c r="F7" s="478" t="s">
        <v>239</v>
      </c>
      <c r="G7" s="478" t="s">
        <v>2485</v>
      </c>
      <c r="H7" s="478" t="s">
        <v>2479</v>
      </c>
      <c r="I7" s="478" t="s">
        <v>2506</v>
      </c>
      <c r="J7" s="478" t="s">
        <v>2480</v>
      </c>
      <c r="K7" s="478" t="s">
        <v>2399</v>
      </c>
      <c r="L7" s="478" t="s">
        <v>2481</v>
      </c>
      <c r="M7" s="478" t="s">
        <v>139</v>
      </c>
      <c r="N7" s="478" t="s">
        <v>2345</v>
      </c>
      <c r="O7" s="478" t="s">
        <v>1909</v>
      </c>
      <c r="P7" s="478" t="s">
        <v>2482</v>
      </c>
      <c r="Q7" s="478" t="s">
        <v>106</v>
      </c>
      <c r="R7" s="478" t="s">
        <v>824</v>
      </c>
      <c r="S7" s="478" t="s">
        <v>2006</v>
      </c>
      <c r="T7" s="478" t="s">
        <v>2023</v>
      </c>
      <c r="U7" s="254"/>
    </row>
    <row r="8" spans="3:21" ht="21.95" customHeight="1">
      <c r="C8" s="126">
        <v>1</v>
      </c>
      <c r="E8" s="126" t="s">
        <v>2515</v>
      </c>
      <c r="F8" s="145" t="s">
        <v>2516</v>
      </c>
      <c r="G8" s="145" t="s">
        <v>2508</v>
      </c>
      <c r="H8" s="145" t="s">
        <v>2517</v>
      </c>
      <c r="I8" s="145" t="s">
        <v>2511</v>
      </c>
      <c r="J8" s="145">
        <v>98221133</v>
      </c>
      <c r="K8" s="152" t="s">
        <v>2518</v>
      </c>
      <c r="L8" s="152" t="s">
        <v>2518</v>
      </c>
      <c r="M8" s="152" t="s">
        <v>2519</v>
      </c>
      <c r="N8" s="152" t="s">
        <v>2520</v>
      </c>
      <c r="O8" s="152" t="s">
        <v>2521</v>
      </c>
      <c r="P8" s="145" t="s">
        <v>2522</v>
      </c>
      <c r="Q8" s="145" t="s">
        <v>2514</v>
      </c>
      <c r="S8" s="145">
        <v>0</v>
      </c>
      <c r="T8" s="145">
        <v>1</v>
      </c>
      <c r="U8" s="145" t="s">
        <v>2523</v>
      </c>
    </row>
    <row r="9" spans="3:21" ht="21.95" customHeight="1">
      <c r="C9" s="126">
        <v>2</v>
      </c>
      <c r="E9" s="126" t="s">
        <v>2515</v>
      </c>
      <c r="F9" s="145" t="s">
        <v>2510</v>
      </c>
      <c r="G9" s="145" t="s">
        <v>2524</v>
      </c>
      <c r="H9" s="145" t="s">
        <v>2525</v>
      </c>
      <c r="I9" s="145" t="s">
        <v>2511</v>
      </c>
      <c r="J9" s="145">
        <v>15434400</v>
      </c>
      <c r="K9" s="152" t="s">
        <v>1914</v>
      </c>
      <c r="L9" s="152" t="s">
        <v>1914</v>
      </c>
      <c r="M9" s="152" t="s">
        <v>2512</v>
      </c>
      <c r="N9" s="152" t="s">
        <v>2526</v>
      </c>
      <c r="O9" s="152" t="s">
        <v>1914</v>
      </c>
      <c r="P9" s="145" t="s">
        <v>2513</v>
      </c>
      <c r="Q9" s="145" t="s">
        <v>2514</v>
      </c>
      <c r="R9" s="1305">
        <v>46175.475810185184</v>
      </c>
      <c r="S9" s="145">
        <v>0</v>
      </c>
      <c r="T9" s="145">
        <v>1</v>
      </c>
      <c r="U9" s="145" t="s">
        <v>2527</v>
      </c>
    </row>
    <row r="10" spans="3:21" ht="21.95" customHeight="1">
      <c r="C10" s="126">
        <v>3</v>
      </c>
      <c r="E10" s="126" t="s">
        <v>2509</v>
      </c>
      <c r="F10" s="145" t="s">
        <v>2528</v>
      </c>
      <c r="G10" s="145" t="s">
        <v>2529</v>
      </c>
      <c r="H10" s="145" t="s">
        <v>2530</v>
      </c>
      <c r="I10" s="145" t="s">
        <v>2531</v>
      </c>
      <c r="J10" s="145">
        <v>98776655</v>
      </c>
      <c r="K10" s="152" t="s">
        <v>2532</v>
      </c>
      <c r="L10" s="152" t="s">
        <v>2532</v>
      </c>
      <c r="M10" s="152" t="s">
        <v>2533</v>
      </c>
      <c r="N10" s="152" t="s">
        <v>2534</v>
      </c>
      <c r="O10" s="152" t="s">
        <v>2532</v>
      </c>
      <c r="P10" s="145" t="s">
        <v>2535</v>
      </c>
      <c r="Q10" s="145" t="s">
        <v>2536</v>
      </c>
      <c r="R10" s="1305">
        <v>46175.480949074074</v>
      </c>
      <c r="S10" s="145">
        <v>0</v>
      </c>
      <c r="T10" s="145">
        <v>1</v>
      </c>
      <c r="U10" s="145" t="s">
        <v>2537</v>
      </c>
    </row>
  </sheetData>
  <mergeCells count="1">
    <mergeCell ref="C3:P3"/>
  </mergeCells>
  <phoneticPr fontId="37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747" r:id="rId4" name="Button 3">
              <controlPr defaultSize="0" print="0" autoFill="0" autoPict="0" macro="[0]!goToHome" altText="ទំព័រដើម">
                <anchor moveWithCells="1" sizeWithCells="1">
                  <from>
                    <xdr:col>3</xdr:col>
                    <xdr:colOff>38100</xdr:colOff>
                    <xdr:row>1</xdr:row>
                    <xdr:rowOff>95250</xdr:rowOff>
                  </from>
                  <to>
                    <xdr:col>4</xdr:col>
                    <xdr:colOff>361950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9" r:id="rId5" name="Button 5">
              <controlPr defaultSize="0" print="0" autoFill="0" autoPict="0" macro="[0]!btnAddVendor">
                <anchor moveWithCells="1" sizeWithCells="1">
                  <from>
                    <xdr:col>4</xdr:col>
                    <xdr:colOff>485775</xdr:colOff>
                    <xdr:row>1</xdr:row>
                    <xdr:rowOff>104775</xdr:rowOff>
                  </from>
                  <to>
                    <xdr:col>4</xdr:col>
                    <xdr:colOff>933450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>
    <tabColor rgb="FFFF6600"/>
  </sheetPr>
  <dimension ref="A1:AF46"/>
  <sheetViews>
    <sheetView showGridLines="0" zoomScale="90" zoomScaleNormal="90" zoomScaleSheetLayoutView="100" workbookViewId="0">
      <selection activeCell="R11" sqref="R11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style="5" customWidth="1"/>
    <col min="4" max="4" width="20.28515625" style="5" customWidth="1"/>
    <col min="5" max="5" width="10" style="2" customWidth="1"/>
    <col min="6" max="6" width="13.28515625" style="269" customWidth="1"/>
    <col min="7" max="7" width="13.85546875" style="1" customWidth="1"/>
    <col min="8" max="8" width="14.85546875" customWidth="1"/>
    <col min="10" max="10" width="13.42578125" style="183" customWidth="1"/>
    <col min="11" max="11" width="14.5703125" customWidth="1"/>
    <col min="12" max="12" width="7.42578125" style="501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style="47" customWidth="1"/>
    <col min="24" max="24" width="4.140625" style="37" customWidth="1"/>
    <col min="25" max="25" width="13.140625" style="37" bestFit="1" customWidth="1"/>
    <col min="26" max="26" width="3.5703125" style="37" customWidth="1"/>
    <col min="29" max="29" width="5.42578125" customWidth="1"/>
    <col min="30" max="30" width="3.5703125" customWidth="1"/>
  </cols>
  <sheetData>
    <row r="1" spans="1:32" ht="29.25">
      <c r="B1" s="1786" t="s">
        <v>115</v>
      </c>
      <c r="C1" s="1786"/>
      <c r="D1" s="1786"/>
      <c r="E1" s="1786"/>
      <c r="F1" s="1786"/>
      <c r="G1" s="1786"/>
      <c r="H1" s="1786"/>
      <c r="J1" s="270"/>
      <c r="K1" s="270"/>
      <c r="Y1" s="47"/>
    </row>
    <row r="2" spans="1:32" ht="41.25" customHeight="1">
      <c r="B2" s="1791" t="s">
        <v>209</v>
      </c>
      <c r="C2" s="1791"/>
      <c r="D2" s="1791"/>
      <c r="E2" s="1791"/>
      <c r="F2" s="1791"/>
      <c r="G2" s="1791"/>
      <c r="H2" s="1791"/>
      <c r="J2" s="271"/>
      <c r="K2" s="271"/>
      <c r="N2" s="659"/>
      <c r="O2" s="660" t="str">
        <f>MID(Setting!P14,4,50)</f>
        <v>ឧសភា</v>
      </c>
      <c r="P2" s="661">
        <f ca="1">TODAY()</f>
        <v>46185</v>
      </c>
      <c r="Q2" s="662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</row>
    <row r="3" spans="1:32" ht="27.75" customHeight="1">
      <c r="B3" s="1604" t="str">
        <f>"ខែ "&amp;O2&amp;"-2026"</f>
        <v>ខែ ឧសភា-2026</v>
      </c>
      <c r="C3" s="1604"/>
      <c r="D3" s="1604"/>
      <c r="E3" s="1604"/>
      <c r="F3" s="1604"/>
      <c r="G3" s="1604"/>
      <c r="H3" s="1604"/>
      <c r="J3" s="272"/>
      <c r="K3" s="273"/>
      <c r="L3" s="502"/>
      <c r="N3" s="655"/>
      <c r="O3" s="656" t="s">
        <v>116</v>
      </c>
      <c r="P3" s="657" t="s">
        <v>23</v>
      </c>
      <c r="Q3" s="658" t="str">
        <f>MID(P3,1,2)</f>
        <v>01</v>
      </c>
      <c r="R3" s="186"/>
      <c r="S3" s="186"/>
      <c r="U3" s="184"/>
      <c r="V3" s="184"/>
      <c r="W3" s="184"/>
      <c r="X3" s="184"/>
      <c r="Y3" s="184"/>
      <c r="Z3" s="184"/>
      <c r="AA3" s="184"/>
      <c r="AB3" s="184"/>
      <c r="AC3" s="184"/>
      <c r="AD3" s="184"/>
    </row>
    <row r="4" spans="1:32" s="4" customFormat="1" ht="4.5" customHeight="1">
      <c r="A4"/>
      <c r="C4" s="64"/>
      <c r="D4" s="64"/>
      <c r="E4" s="66"/>
      <c r="F4" s="269"/>
      <c r="G4" s="67"/>
      <c r="J4" s="66"/>
      <c r="K4" s="68"/>
      <c r="L4" s="503"/>
      <c r="N4" s="396"/>
      <c r="Q4" s="397"/>
      <c r="R4"/>
      <c r="S4"/>
      <c r="T4"/>
      <c r="U4"/>
      <c r="V4"/>
      <c r="W4" s="169"/>
      <c r="X4" s="40"/>
      <c r="Y4" s="40"/>
      <c r="Z4" s="40"/>
    </row>
    <row r="5" spans="1:32" s="3" customFormat="1" ht="27.75" customHeight="1">
      <c r="B5" s="528" t="s">
        <v>59</v>
      </c>
      <c r="C5" s="1789" t="s">
        <v>317</v>
      </c>
      <c r="D5" s="1790"/>
      <c r="E5" s="528" t="s">
        <v>180</v>
      </c>
      <c r="F5" s="528" t="s">
        <v>75</v>
      </c>
      <c r="G5" s="528" t="str">
        <f>IF(c_invoice_price_type="05","ថ្លៃដើម","តំលៃឯកតា")</f>
        <v>តំលៃឯកតា</v>
      </c>
      <c r="H5" s="528" t="s">
        <v>117</v>
      </c>
      <c r="J5" s="1776" t="s">
        <v>316</v>
      </c>
      <c r="K5" s="1776"/>
      <c r="L5" s="504"/>
      <c r="N5" s="1777" t="s">
        <v>118</v>
      </c>
      <c r="O5" s="1778"/>
      <c r="P5" s="1778"/>
      <c r="Q5" s="1779"/>
      <c r="R5"/>
      <c r="S5"/>
      <c r="T5" s="133"/>
      <c r="U5"/>
      <c r="V5" s="121"/>
      <c r="W5" s="13"/>
      <c r="X5" s="13"/>
      <c r="Y5" s="127"/>
      <c r="Z5" s="13"/>
      <c r="AA5" s="13"/>
      <c r="AB5" s="13"/>
      <c r="AC5" s="13"/>
      <c r="AD5" s="13"/>
      <c r="AE5" s="13"/>
    </row>
    <row r="6" spans="1:32" s="126" customFormat="1" ht="20.25" customHeight="1">
      <c r="B6" s="529" t="s">
        <v>10</v>
      </c>
      <c r="C6" s="1787" t="s">
        <v>318</v>
      </c>
      <c r="D6" s="1788"/>
      <c r="E6" s="529" t="s">
        <v>93</v>
      </c>
      <c r="F6" s="529" t="s">
        <v>15</v>
      </c>
      <c r="G6" s="529" t="s">
        <v>38</v>
      </c>
      <c r="H6" s="529" t="s">
        <v>112</v>
      </c>
      <c r="J6" s="649" t="s">
        <v>75</v>
      </c>
      <c r="K6" s="649" t="s">
        <v>80</v>
      </c>
      <c r="L6" s="654" t="s">
        <v>1812</v>
      </c>
      <c r="N6" s="1780"/>
      <c r="O6" s="1781"/>
      <c r="P6" s="1781"/>
      <c r="Q6" s="1782"/>
      <c r="U6"/>
      <c r="V6" s="167"/>
      <c r="W6" s="168"/>
      <c r="X6" s="168"/>
      <c r="Y6" s="168"/>
      <c r="Z6" s="168"/>
      <c r="AA6" s="168"/>
      <c r="AB6" s="47"/>
      <c r="AC6"/>
      <c r="AD6"/>
      <c r="AE6"/>
      <c r="AF6"/>
    </row>
    <row r="7" spans="1:32" s="147" customFormat="1" ht="24.75" customHeight="1">
      <c r="B7" s="644">
        <v>1</v>
      </c>
      <c r="C7" s="1773" t="str">
        <f t="shared" ref="C7:C34" si="0">IFERROR(IF(B7="","",IF(B7=product_name_th,"",MID(N7,4,100))),"")</f>
        <v>01.អំពូលភ្លើង 75W</v>
      </c>
      <c r="D7" s="1774"/>
      <c r="E7" s="683" t="str">
        <f t="shared" ref="E7:E18" si="1">IFERROR(IF(B7&lt;&gt;"",VLOOKUP(B7,inventory_activity_summary_list,8,FALSE),""),"")</f>
        <v/>
      </c>
      <c r="F7" s="645" t="s">
        <v>82</v>
      </c>
      <c r="G7" s="646" t="str">
        <f t="shared" ref="G7:G34" si="2">IFERROR(IF(E7&lt;&gt;"",IF(c_invoice_price_type="01",IF(B7="","",VLOOKUP(MID(N7,1,2),product_list,6,FALSE)),IF(c_invoice_price_type="02",IF(B7="","",VLOOKUP(MID(N7,1,2),product_list,7,FALSE)),IF(c_invoice_price_type="03",IF(B7="","",VLOOKUP(MID(N7,1,2),product_list,8,FALSE)),IF(c_invoice_price_type="04",IF(B7="","",VLOOKUP(MID(N7,1,2),product_list,9,FALSE)),IF(c_invoice_price_type="05",IF(B7="","",VLOOKUP(MID(N7,1,2),product_list,5,FALSE)),"")))) ),""),"")</f>
        <v/>
      </c>
      <c r="H7" s="647" t="str">
        <f t="shared" ref="H7:H34" si="3">IFERROR(E7*G7/K7,"")</f>
        <v/>
      </c>
      <c r="J7" s="650" t="str">
        <f t="shared" ref="J7:J34" si="4">IFERROR(MID(VLOOKUP(MID(N7,1,2),product_list,4,FALSE),4,100),"")</f>
        <v/>
      </c>
      <c r="K7" s="651" t="str">
        <f t="shared" ref="K7:K34" si="5">IFERROR(VLOOKUP(MID(N7,1,2),product_list,11,FALSE),"")</f>
        <v/>
      </c>
      <c r="L7" s="504">
        <v>1</v>
      </c>
      <c r="M7" s="147" t="e">
        <f t="shared" ref="M7:M34" si="6">IF(N7="","",VLOOKUP(MID(N7,1,2),product_list,2,FALSE))</f>
        <v>#N/A</v>
      </c>
      <c r="N7" s="663" t="s">
        <v>1932</v>
      </c>
      <c r="O7" s="664"/>
      <c r="P7" s="664"/>
      <c r="Q7" s="665"/>
      <c r="U7"/>
      <c r="AC7"/>
      <c r="AD7"/>
      <c r="AE7"/>
      <c r="AF7"/>
    </row>
    <row r="8" spans="1:32" s="147" customFormat="1" ht="24.75" customHeight="1">
      <c r="B8" s="644">
        <v>2</v>
      </c>
      <c r="C8" s="1773" t="str">
        <f t="shared" si="0"/>
        <v>02.ឌីសង់តឺ schneder 32A</v>
      </c>
      <c r="D8" s="1774"/>
      <c r="E8" s="683" t="str">
        <f t="shared" si="1"/>
        <v/>
      </c>
      <c r="F8" s="645" t="s">
        <v>82</v>
      </c>
      <c r="G8" s="646" t="str">
        <f t="shared" si="2"/>
        <v/>
      </c>
      <c r="H8" s="647" t="str">
        <f t="shared" si="3"/>
        <v/>
      </c>
      <c r="J8" s="650" t="str">
        <f t="shared" si="4"/>
        <v/>
      </c>
      <c r="K8" s="651" t="str">
        <f t="shared" si="5"/>
        <v/>
      </c>
      <c r="L8" s="504">
        <v>1</v>
      </c>
      <c r="M8" s="147" t="e">
        <f t="shared" si="6"/>
        <v>#N/A</v>
      </c>
      <c r="N8" s="1783" t="s">
        <v>1930</v>
      </c>
      <c r="O8" s="1784"/>
      <c r="P8" s="1784"/>
      <c r="Q8" s="1785"/>
      <c r="U8" s="37"/>
      <c r="V8" s="37"/>
      <c r="W8" s="47"/>
      <c r="X8"/>
      <c r="Y8"/>
      <c r="Z8"/>
      <c r="AA8" s="52"/>
      <c r="AB8"/>
      <c r="AC8"/>
      <c r="AD8"/>
      <c r="AE8"/>
      <c r="AF8"/>
    </row>
    <row r="9" spans="1:32" s="147" customFormat="1" ht="24.75" customHeight="1">
      <c r="B9" s="644">
        <v>3</v>
      </c>
      <c r="C9" s="1773" t="str">
        <f t="shared" si="0"/>
        <v>02.ឌីសង់តឺ schneder 32A</v>
      </c>
      <c r="D9" s="1774"/>
      <c r="E9" s="683" t="str">
        <f t="shared" si="1"/>
        <v/>
      </c>
      <c r="F9" s="645" t="s">
        <v>84</v>
      </c>
      <c r="G9" s="646" t="str">
        <f t="shared" si="2"/>
        <v/>
      </c>
      <c r="H9" s="647" t="str">
        <f t="shared" si="3"/>
        <v/>
      </c>
      <c r="J9" s="650" t="str">
        <f t="shared" si="4"/>
        <v/>
      </c>
      <c r="K9" s="651" t="str">
        <f t="shared" si="5"/>
        <v/>
      </c>
      <c r="L9" s="504">
        <v>1</v>
      </c>
      <c r="M9" s="147" t="e">
        <f t="shared" si="6"/>
        <v>#N/A</v>
      </c>
      <c r="N9" s="1783" t="s">
        <v>1930</v>
      </c>
      <c r="O9" s="1784"/>
      <c r="P9" s="1784"/>
      <c r="Q9" s="1785"/>
      <c r="U9" s="185"/>
      <c r="V9" s="1654"/>
      <c r="W9" s="1654"/>
      <c r="X9" s="36"/>
      <c r="Y9" s="52"/>
      <c r="AA9" s="52"/>
      <c r="AB9" s="52"/>
      <c r="AC9" s="52"/>
      <c r="AD9" s="52"/>
      <c r="AE9" s="52"/>
      <c r="AF9" s="52"/>
    </row>
    <row r="10" spans="1:32" s="147" customFormat="1" ht="24.75" customHeight="1">
      <c r="B10" s="644">
        <v>4</v>
      </c>
      <c r="C10" s="1773" t="str">
        <f t="shared" si="0"/>
        <v>សាប៊ូបោកគក់ 28លីត្រ</v>
      </c>
      <c r="D10" s="1774"/>
      <c r="E10" s="683" t="str">
        <f t="shared" si="1"/>
        <v/>
      </c>
      <c r="F10" s="645" t="s">
        <v>84</v>
      </c>
      <c r="G10" s="646" t="str">
        <f t="shared" si="2"/>
        <v/>
      </c>
      <c r="H10" s="647" t="str">
        <f t="shared" si="3"/>
        <v/>
      </c>
      <c r="J10" s="650" t="str">
        <f t="shared" si="4"/>
        <v/>
      </c>
      <c r="K10" s="651" t="str">
        <f t="shared" si="5"/>
        <v/>
      </c>
      <c r="L10" s="504">
        <v>1</v>
      </c>
      <c r="M10" s="147" t="e">
        <f t="shared" si="6"/>
        <v>#N/A</v>
      </c>
      <c r="N10" s="1783" t="s">
        <v>281</v>
      </c>
      <c r="O10" s="1784"/>
      <c r="P10" s="1784"/>
      <c r="Q10" s="1785"/>
      <c r="V10" s="172"/>
      <c r="W10" s="173"/>
      <c r="X10" s="171"/>
      <c r="Y10" s="171"/>
      <c r="Z10" s="171"/>
    </row>
    <row r="11" spans="1:32" s="147" customFormat="1" ht="24.75" customHeight="1">
      <c r="B11" s="644">
        <v>5</v>
      </c>
      <c r="C11" s="1773" t="str">
        <f t="shared" si="0"/>
        <v>សាប៊ូលាងចាន 30លីត្រ</v>
      </c>
      <c r="D11" s="1774"/>
      <c r="E11" s="683" t="str">
        <f t="shared" si="1"/>
        <v/>
      </c>
      <c r="F11" s="645" t="s">
        <v>84</v>
      </c>
      <c r="G11" s="646" t="str">
        <f t="shared" si="2"/>
        <v/>
      </c>
      <c r="H11" s="647" t="str">
        <f t="shared" si="3"/>
        <v/>
      </c>
      <c r="J11" s="650" t="str">
        <f t="shared" si="4"/>
        <v/>
      </c>
      <c r="K11" s="651" t="str">
        <f t="shared" si="5"/>
        <v/>
      </c>
      <c r="L11" s="504">
        <v>1</v>
      </c>
      <c r="M11" s="147" t="e">
        <f t="shared" si="6"/>
        <v>#N/A</v>
      </c>
      <c r="N11" s="1783" t="s">
        <v>284</v>
      </c>
      <c r="O11" s="1784"/>
      <c r="P11" s="1784"/>
      <c r="Q11" s="1785"/>
      <c r="V11" s="172"/>
      <c r="W11" s="173"/>
      <c r="X11" s="171"/>
      <c r="Y11" s="171"/>
      <c r="Z11" s="171"/>
    </row>
    <row r="12" spans="1:32" s="147" customFormat="1" ht="24.75" customHeight="1">
      <c r="B12" s="644">
        <v>6</v>
      </c>
      <c r="C12" s="1773" t="str">
        <f t="shared" si="0"/>
        <v>សាប៊ូបោកគក់ 30លីត្រ</v>
      </c>
      <c r="D12" s="1774"/>
      <c r="E12" s="683" t="str">
        <f t="shared" si="1"/>
        <v/>
      </c>
      <c r="F12" s="645" t="s">
        <v>84</v>
      </c>
      <c r="G12" s="646" t="str">
        <f t="shared" si="2"/>
        <v/>
      </c>
      <c r="H12" s="647" t="str">
        <f t="shared" si="3"/>
        <v/>
      </c>
      <c r="J12" s="650" t="str">
        <f t="shared" si="4"/>
        <v/>
      </c>
      <c r="K12" s="651" t="str">
        <f t="shared" si="5"/>
        <v/>
      </c>
      <c r="L12" s="504">
        <v>1</v>
      </c>
      <c r="M12" s="147" t="e">
        <f t="shared" si="6"/>
        <v>#N/A</v>
      </c>
      <c r="N12" s="1783" t="s">
        <v>282</v>
      </c>
      <c r="O12" s="1784"/>
      <c r="P12" s="1784"/>
      <c r="Q12" s="1785"/>
      <c r="X12" s="171"/>
      <c r="Y12" s="171"/>
      <c r="Z12" s="171"/>
    </row>
    <row r="13" spans="1:32" s="147" customFormat="1" ht="24.75" customHeight="1">
      <c r="B13" s="644">
        <v>7</v>
      </c>
      <c r="C13" s="1773" t="str">
        <f t="shared" si="0"/>
        <v>ទឹកសម្អាតការ៉ូ 4លីត្រ</v>
      </c>
      <c r="D13" s="1774"/>
      <c r="E13" s="683" t="str">
        <f t="shared" si="1"/>
        <v/>
      </c>
      <c r="F13" s="645" t="s">
        <v>82</v>
      </c>
      <c r="G13" s="646" t="str">
        <f t="shared" si="2"/>
        <v/>
      </c>
      <c r="H13" s="647" t="str">
        <f t="shared" si="3"/>
        <v/>
      </c>
      <c r="J13" s="650" t="str">
        <f t="shared" si="4"/>
        <v/>
      </c>
      <c r="K13" s="651" t="str">
        <f t="shared" si="5"/>
        <v/>
      </c>
      <c r="L13" s="504">
        <v>1</v>
      </c>
      <c r="M13" s="147" t="e">
        <f t="shared" si="6"/>
        <v>#N/A</v>
      </c>
      <c r="N13" s="1783" t="s">
        <v>277</v>
      </c>
      <c r="O13" s="1784"/>
      <c r="P13" s="1784"/>
      <c r="Q13" s="1785"/>
      <c r="X13" s="171"/>
      <c r="Y13" s="171"/>
      <c r="Z13" s="171"/>
    </row>
    <row r="14" spans="1:32" s="147" customFormat="1" ht="24.75" customHeight="1">
      <c r="B14" s="644">
        <v>8</v>
      </c>
      <c r="C14" s="1773" t="str">
        <f t="shared" si="0"/>
        <v>ទឹកសម្អាតការ៉ូ 28លីត្រ</v>
      </c>
      <c r="D14" s="1774"/>
      <c r="E14" s="683" t="str">
        <f t="shared" si="1"/>
        <v/>
      </c>
      <c r="F14" s="645" t="s">
        <v>84</v>
      </c>
      <c r="G14" s="646" t="str">
        <f t="shared" si="2"/>
        <v/>
      </c>
      <c r="H14" s="647" t="str">
        <f t="shared" si="3"/>
        <v/>
      </c>
      <c r="J14" s="650" t="str">
        <f t="shared" si="4"/>
        <v/>
      </c>
      <c r="K14" s="651" t="str">
        <f t="shared" si="5"/>
        <v/>
      </c>
      <c r="L14" s="504">
        <v>1</v>
      </c>
      <c r="M14" s="147" t="e">
        <f t="shared" si="6"/>
        <v>#N/A</v>
      </c>
      <c r="N14" s="1783" t="s">
        <v>278</v>
      </c>
      <c r="O14" s="1784"/>
      <c r="P14" s="1784"/>
      <c r="Q14" s="1785"/>
      <c r="X14" s="171"/>
      <c r="Y14" s="171"/>
      <c r="Z14" s="171"/>
    </row>
    <row r="15" spans="1:32" s="147" customFormat="1" ht="24.75" customHeight="1">
      <c r="B15" s="644">
        <v>9</v>
      </c>
      <c r="C15" s="1773" t="str">
        <f t="shared" si="0"/>
        <v>ទឹកសម្អាតការ៉ូ 30លីត្រ</v>
      </c>
      <c r="D15" s="1774"/>
      <c r="E15" s="683" t="str">
        <f t="shared" si="1"/>
        <v/>
      </c>
      <c r="F15" s="645" t="s">
        <v>84</v>
      </c>
      <c r="G15" s="646" t="str">
        <f t="shared" si="2"/>
        <v/>
      </c>
      <c r="H15" s="647" t="str">
        <f t="shared" si="3"/>
        <v/>
      </c>
      <c r="J15" s="650" t="str">
        <f t="shared" si="4"/>
        <v/>
      </c>
      <c r="K15" s="651" t="str">
        <f t="shared" si="5"/>
        <v/>
      </c>
      <c r="L15" s="504">
        <v>1</v>
      </c>
      <c r="M15" s="147" t="e">
        <f t="shared" si="6"/>
        <v>#N/A</v>
      </c>
      <c r="N15" s="1783" t="s">
        <v>279</v>
      </c>
      <c r="O15" s="1784"/>
      <c r="P15" s="1784"/>
      <c r="Q15" s="1785"/>
      <c r="X15" s="171"/>
      <c r="Y15" s="171"/>
      <c r="Z15" s="171"/>
    </row>
    <row r="16" spans="1:32" s="34" customFormat="1" ht="24.75" customHeight="1">
      <c r="B16" s="644">
        <v>10</v>
      </c>
      <c r="C16" s="1773" t="str">
        <f t="shared" si="0"/>
        <v>សាប៊ូលាងម៉ូតូ ឡាន 4លីត្រ</v>
      </c>
      <c r="D16" s="1774"/>
      <c r="E16" s="683" t="str">
        <f t="shared" si="1"/>
        <v/>
      </c>
      <c r="F16" s="645" t="s">
        <v>82</v>
      </c>
      <c r="G16" s="646" t="str">
        <f t="shared" si="2"/>
        <v/>
      </c>
      <c r="H16" s="647" t="str">
        <f t="shared" si="3"/>
        <v/>
      </c>
      <c r="J16" s="650" t="str">
        <f t="shared" si="4"/>
        <v/>
      </c>
      <c r="K16" s="651" t="str">
        <f t="shared" si="5"/>
        <v/>
      </c>
      <c r="L16" s="504">
        <v>1</v>
      </c>
      <c r="M16" s="147" t="e">
        <f t="shared" si="6"/>
        <v>#N/A</v>
      </c>
      <c r="N16" s="1783" t="s">
        <v>1796</v>
      </c>
      <c r="O16" s="1784"/>
      <c r="P16" s="1784"/>
      <c r="Q16" s="1785"/>
      <c r="R16" s="147"/>
      <c r="X16" s="42"/>
      <c r="Y16" s="42"/>
      <c r="Z16" s="42"/>
    </row>
    <row r="17" spans="2:23" ht="24.75" customHeight="1">
      <c r="B17" s="644">
        <v>11</v>
      </c>
      <c r="C17" s="1773" t="str">
        <f t="shared" si="0"/>
        <v>សាប៊ូលាងម៉ូតូ ឡាន 28លីត្រ</v>
      </c>
      <c r="D17" s="1774"/>
      <c r="E17" s="683" t="str">
        <f t="shared" si="1"/>
        <v/>
      </c>
      <c r="F17" s="645" t="s">
        <v>84</v>
      </c>
      <c r="G17" s="646" t="str">
        <f t="shared" si="2"/>
        <v/>
      </c>
      <c r="H17" s="647" t="str">
        <f>IFERROR(E17*G17/K17,"")</f>
        <v/>
      </c>
      <c r="J17" s="650" t="str">
        <f t="shared" si="4"/>
        <v/>
      </c>
      <c r="K17" s="651" t="str">
        <f t="shared" si="5"/>
        <v/>
      </c>
      <c r="L17" s="504">
        <v>1</v>
      </c>
      <c r="M17" s="147" t="e">
        <f t="shared" si="6"/>
        <v>#N/A</v>
      </c>
      <c r="N17" s="1783" t="s">
        <v>1797</v>
      </c>
      <c r="O17" s="1784"/>
      <c r="P17" s="1784"/>
      <c r="Q17" s="1785"/>
      <c r="R17" s="147"/>
    </row>
    <row r="18" spans="2:23" ht="24.75" customHeight="1">
      <c r="B18" s="644">
        <v>12</v>
      </c>
      <c r="C18" s="1773" t="str">
        <f t="shared" si="0"/>
        <v>សាប៊ូលាងម៉ូតូ ឡាន 30លីត្រ</v>
      </c>
      <c r="D18" s="1774"/>
      <c r="E18" s="683" t="str">
        <f t="shared" si="1"/>
        <v/>
      </c>
      <c r="F18" s="645" t="s">
        <v>84</v>
      </c>
      <c r="G18" s="646" t="str">
        <f t="shared" si="2"/>
        <v/>
      </c>
      <c r="H18" s="647" t="str">
        <f t="shared" si="3"/>
        <v/>
      </c>
      <c r="J18" s="650" t="str">
        <f t="shared" si="4"/>
        <v/>
      </c>
      <c r="K18" s="651" t="str">
        <f t="shared" si="5"/>
        <v/>
      </c>
      <c r="L18" s="504">
        <v>1</v>
      </c>
      <c r="M18" s="147" t="e">
        <f t="shared" si="6"/>
        <v>#N/A</v>
      </c>
      <c r="N18" s="1783" t="s">
        <v>1798</v>
      </c>
      <c r="O18" s="1784"/>
      <c r="P18" s="1784"/>
      <c r="Q18" s="1785"/>
      <c r="R18" s="147"/>
    </row>
    <row r="19" spans="2:23" ht="24.75" customHeight="1">
      <c r="B19" s="644">
        <v>13</v>
      </c>
      <c r="C19" s="1773" t="str">
        <f t="shared" ref="C19:C27" si="7">IFERROR(IF(B19="","",IF(B19=product_name_th,"",MID(N19,4,100))),"")</f>
        <v>អាស៊ីតខ្លាញ់ (ទឹកខ្មៅ)</v>
      </c>
      <c r="D19" s="1774"/>
      <c r="E19" s="510"/>
      <c r="F19" s="645" t="s">
        <v>87</v>
      </c>
      <c r="G19" s="646" t="str">
        <f t="shared" si="2"/>
        <v/>
      </c>
      <c r="H19" s="647" t="str">
        <f t="shared" si="3"/>
        <v/>
      </c>
      <c r="J19" s="650" t="str">
        <f t="shared" si="4"/>
        <v/>
      </c>
      <c r="K19" s="651" t="str">
        <f t="shared" ref="K19:K24" si="8">IFERROR(VLOOKUP(MID(N22,1,2),product_list,11,FALSE),"")</f>
        <v/>
      </c>
      <c r="L19" s="504">
        <v>2</v>
      </c>
      <c r="M19" s="147" t="e">
        <f t="shared" si="6"/>
        <v>#N/A</v>
      </c>
      <c r="N19" s="666" t="s">
        <v>421</v>
      </c>
      <c r="O19" s="158"/>
      <c r="P19" s="158"/>
      <c r="Q19" s="667"/>
      <c r="R19" s="147"/>
    </row>
    <row r="20" spans="2:23" ht="24.75" customHeight="1">
      <c r="B20" s="644">
        <v>14</v>
      </c>
      <c r="C20" s="1773" t="str">
        <f t="shared" si="7"/>
        <v>អ៊ីដ្រុកស៊ីអេទីលសែលលុយឡូស (ពពុះសាប៊ូ)</v>
      </c>
      <c r="D20" s="1774"/>
      <c r="E20" s="510"/>
      <c r="F20" s="645" t="s">
        <v>86</v>
      </c>
      <c r="G20" s="646" t="str">
        <f t="shared" si="2"/>
        <v/>
      </c>
      <c r="H20" s="647" t="str">
        <f t="shared" si="3"/>
        <v/>
      </c>
      <c r="J20" s="650" t="str">
        <f t="shared" si="4"/>
        <v/>
      </c>
      <c r="K20" s="651" t="str">
        <f t="shared" si="8"/>
        <v/>
      </c>
      <c r="L20" s="504">
        <v>2</v>
      </c>
      <c r="M20" s="147" t="e">
        <f t="shared" si="6"/>
        <v>#N/A</v>
      </c>
      <c r="N20" s="663" t="s">
        <v>417</v>
      </c>
      <c r="O20" s="664"/>
      <c r="P20" s="664"/>
      <c r="Q20" s="665"/>
      <c r="R20" s="147"/>
    </row>
    <row r="21" spans="2:23" ht="24.75" customHeight="1">
      <c r="B21" s="644">
        <v>15</v>
      </c>
      <c r="C21" s="1773" t="str">
        <f t="shared" si="7"/>
        <v>សូដ្យូមអាល់គីលបង់សែនស៊ុលផូណាត (ម្សៅខាប់)</v>
      </c>
      <c r="D21" s="1774"/>
      <c r="E21" s="510"/>
      <c r="F21" s="645" t="s">
        <v>86</v>
      </c>
      <c r="G21" s="646" t="str">
        <f t="shared" si="2"/>
        <v/>
      </c>
      <c r="H21" s="647" t="str">
        <f t="shared" si="3"/>
        <v/>
      </c>
      <c r="J21" s="650" t="str">
        <f t="shared" si="4"/>
        <v/>
      </c>
      <c r="K21" s="651" t="str">
        <f t="shared" si="8"/>
        <v/>
      </c>
      <c r="L21" s="504">
        <v>2</v>
      </c>
      <c r="M21" s="147" t="e">
        <f t="shared" si="6"/>
        <v>#N/A</v>
      </c>
      <c r="N21" s="663" t="s">
        <v>418</v>
      </c>
      <c r="O21" s="664"/>
      <c r="P21" s="664"/>
      <c r="Q21" s="665"/>
      <c r="R21" s="147"/>
      <c r="V21" s="47"/>
    </row>
    <row r="22" spans="2:23" ht="24.75" customHeight="1">
      <c r="B22" s="644">
        <v>16</v>
      </c>
      <c r="C22" s="1773" t="str">
        <f t="shared" si="7"/>
        <v>សូដ្យូមអ៊ីដ្រុកស៊ីត (កូស្ទិច)</v>
      </c>
      <c r="D22" s="1774"/>
      <c r="E22" s="510"/>
      <c r="F22" s="645" t="s">
        <v>86</v>
      </c>
      <c r="G22" s="646" t="str">
        <f t="shared" si="2"/>
        <v/>
      </c>
      <c r="H22" s="647" t="str">
        <f t="shared" si="3"/>
        <v/>
      </c>
      <c r="J22" s="650" t="str">
        <f t="shared" si="4"/>
        <v/>
      </c>
      <c r="K22" s="651" t="str">
        <f t="shared" si="8"/>
        <v/>
      </c>
      <c r="L22" s="504">
        <v>2</v>
      </c>
      <c r="M22" s="147" t="e">
        <f t="shared" si="6"/>
        <v>#N/A</v>
      </c>
      <c r="N22" s="663" t="s">
        <v>419</v>
      </c>
      <c r="O22" s="664"/>
      <c r="P22" s="664"/>
      <c r="Q22" s="665"/>
      <c r="R22" s="147"/>
    </row>
    <row r="23" spans="2:23" ht="24.75" customHeight="1">
      <c r="B23" s="644">
        <v>17</v>
      </c>
      <c r="C23" s="1773" t="str">
        <f t="shared" si="7"/>
        <v>សូដ្យូមស៊ុលផាត (អំបិល)</v>
      </c>
      <c r="D23" s="1774"/>
      <c r="E23" s="510"/>
      <c r="F23" s="645" t="s">
        <v>86</v>
      </c>
      <c r="G23" s="646" t="str">
        <f t="shared" si="2"/>
        <v/>
      </c>
      <c r="H23" s="647" t="str">
        <f t="shared" si="3"/>
        <v/>
      </c>
      <c r="J23" s="650" t="str">
        <f t="shared" si="4"/>
        <v/>
      </c>
      <c r="K23" s="651" t="str">
        <f t="shared" si="8"/>
        <v/>
      </c>
      <c r="L23" s="504">
        <v>2</v>
      </c>
      <c r="M23" s="147" t="e">
        <f t="shared" si="6"/>
        <v>#N/A</v>
      </c>
      <c r="N23" s="663" t="s">
        <v>420</v>
      </c>
      <c r="O23" s="664"/>
      <c r="P23" s="664"/>
      <c r="Q23" s="665"/>
      <c r="R23" s="147"/>
      <c r="W23"/>
    </row>
    <row r="24" spans="2:23" ht="24.75" customHeight="1">
      <c r="B24" s="644">
        <v>18</v>
      </c>
      <c r="C24" s="1773" t="str">
        <f t="shared" si="7"/>
        <v>ក្លឹន សាន់លីត្រ</v>
      </c>
      <c r="D24" s="1774"/>
      <c r="E24" s="510"/>
      <c r="F24" s="645" t="s">
        <v>87</v>
      </c>
      <c r="G24" s="646" t="str">
        <f t="shared" si="2"/>
        <v/>
      </c>
      <c r="H24" s="647" t="str">
        <f t="shared" si="3"/>
        <v/>
      </c>
      <c r="J24" s="650" t="str">
        <f t="shared" si="4"/>
        <v/>
      </c>
      <c r="K24" s="651" t="str">
        <f t="shared" si="8"/>
        <v/>
      </c>
      <c r="L24" s="504">
        <v>2</v>
      </c>
      <c r="M24" s="147" t="e">
        <f t="shared" si="6"/>
        <v>#N/A</v>
      </c>
      <c r="N24" s="663" t="s">
        <v>89</v>
      </c>
      <c r="O24" s="664"/>
      <c r="P24" s="664"/>
      <c r="Q24" s="665"/>
      <c r="R24" s="147"/>
    </row>
    <row r="25" spans="2:23" ht="21.95" customHeight="1">
      <c r="B25" s="644">
        <v>19</v>
      </c>
      <c r="C25" s="1773" t="str">
        <f t="shared" si="7"/>
        <v>ក្លិន ហ្រ្វេសរ៉ូមែនស៍</v>
      </c>
      <c r="D25" s="1774"/>
      <c r="E25" s="510"/>
      <c r="F25" s="645" t="s">
        <v>87</v>
      </c>
      <c r="G25" s="646" t="str">
        <f t="shared" si="2"/>
        <v/>
      </c>
      <c r="H25" s="647" t="str">
        <f t="shared" si="3"/>
        <v/>
      </c>
      <c r="J25" s="650" t="str">
        <f t="shared" si="4"/>
        <v/>
      </c>
      <c r="K25" s="651">
        <v>1</v>
      </c>
      <c r="L25" s="504">
        <v>2</v>
      </c>
      <c r="M25" s="147" t="e">
        <f t="shared" si="6"/>
        <v>#N/A</v>
      </c>
      <c r="N25" s="663" t="s">
        <v>422</v>
      </c>
      <c r="O25" s="664"/>
      <c r="P25" s="664"/>
      <c r="Q25" s="665"/>
      <c r="R25" s="147"/>
    </row>
    <row r="26" spans="2:23" ht="21.95" customHeight="1">
      <c r="B26" s="644">
        <v>20</v>
      </c>
      <c r="C26" s="1773" t="str">
        <f t="shared" si="7"/>
        <v>ក្លិន​ ហ្រ្វេសរ៉ូសម៉ារី</v>
      </c>
      <c r="D26" s="1774"/>
      <c r="E26" s="510"/>
      <c r="F26" s="645" t="s">
        <v>87</v>
      </c>
      <c r="G26" s="646" t="str">
        <f t="shared" si="2"/>
        <v/>
      </c>
      <c r="H26" s="647" t="str">
        <f t="shared" si="3"/>
        <v/>
      </c>
      <c r="J26" s="650" t="str">
        <f t="shared" si="4"/>
        <v/>
      </c>
      <c r="K26" s="651">
        <v>1</v>
      </c>
      <c r="L26" s="504">
        <v>2</v>
      </c>
      <c r="M26" s="147" t="e">
        <f t="shared" si="6"/>
        <v>#N/A</v>
      </c>
      <c r="N26" s="663" t="s">
        <v>423</v>
      </c>
      <c r="O26" s="664"/>
      <c r="P26" s="664"/>
      <c r="Q26" s="665"/>
      <c r="R26" s="147"/>
    </row>
    <row r="27" spans="2:23" ht="21.95" customHeight="1">
      <c r="B27" s="644">
        <v>21</v>
      </c>
      <c r="C27" s="1773" t="str">
        <f t="shared" si="7"/>
        <v>ទឹកជំនួយពពុះ</v>
      </c>
      <c r="D27" s="1774"/>
      <c r="E27" s="510"/>
      <c r="F27" s="645" t="s">
        <v>87</v>
      </c>
      <c r="G27" s="646" t="str">
        <f t="shared" si="2"/>
        <v/>
      </c>
      <c r="H27" s="647" t="str">
        <f t="shared" si="3"/>
        <v/>
      </c>
      <c r="J27" s="650" t="str">
        <f t="shared" si="4"/>
        <v/>
      </c>
      <c r="K27" s="651">
        <v>1</v>
      </c>
      <c r="L27" s="504">
        <v>2</v>
      </c>
      <c r="M27" s="147" t="e">
        <f t="shared" si="6"/>
        <v>#N/A</v>
      </c>
      <c r="N27" s="663" t="s">
        <v>90</v>
      </c>
      <c r="O27" s="664"/>
      <c r="P27" s="664"/>
      <c r="Q27" s="665"/>
      <c r="R27" s="147"/>
    </row>
    <row r="28" spans="2:23" ht="21.95" hidden="1" customHeight="1">
      <c r="B28" s="644"/>
      <c r="C28" s="1773" t="str">
        <f t="shared" si="0"/>
        <v/>
      </c>
      <c r="D28" s="1774"/>
      <c r="E28" s="510"/>
      <c r="F28" s="645"/>
      <c r="G28" s="646" t="str">
        <f t="shared" si="2"/>
        <v/>
      </c>
      <c r="H28" s="647" t="str">
        <f t="shared" si="3"/>
        <v/>
      </c>
      <c r="J28" s="650" t="str">
        <f t="shared" si="4"/>
        <v/>
      </c>
      <c r="K28" s="651" t="str">
        <f t="shared" si="5"/>
        <v/>
      </c>
      <c r="L28" s="501">
        <v>0</v>
      </c>
      <c r="M28" s="147" t="str">
        <f t="shared" si="6"/>
        <v/>
      </c>
      <c r="N28" s="663"/>
      <c r="O28" s="664"/>
      <c r="P28" s="664"/>
      <c r="Q28" s="665"/>
      <c r="R28" s="147"/>
    </row>
    <row r="29" spans="2:23" ht="21.95" hidden="1" customHeight="1">
      <c r="B29" s="644"/>
      <c r="C29" s="1773" t="str">
        <f t="shared" si="0"/>
        <v/>
      </c>
      <c r="D29" s="1774"/>
      <c r="E29" s="510"/>
      <c r="F29" s="645"/>
      <c r="G29" s="646" t="str">
        <f t="shared" si="2"/>
        <v/>
      </c>
      <c r="H29" s="647" t="str">
        <f t="shared" si="3"/>
        <v/>
      </c>
      <c r="J29" s="650" t="str">
        <f t="shared" si="4"/>
        <v/>
      </c>
      <c r="K29" s="651" t="str">
        <f t="shared" si="5"/>
        <v/>
      </c>
      <c r="L29" s="501">
        <v>0</v>
      </c>
      <c r="M29" s="147" t="str">
        <f t="shared" si="6"/>
        <v/>
      </c>
      <c r="N29" s="663"/>
      <c r="O29" s="664"/>
      <c r="P29" s="664"/>
      <c r="Q29" s="665"/>
      <c r="R29" s="147"/>
    </row>
    <row r="30" spans="2:23" ht="21.95" hidden="1" customHeight="1">
      <c r="B30" s="644"/>
      <c r="C30" s="1773" t="str">
        <f t="shared" si="0"/>
        <v/>
      </c>
      <c r="D30" s="1774"/>
      <c r="E30" s="510"/>
      <c r="F30" s="645"/>
      <c r="G30" s="646" t="str">
        <f t="shared" si="2"/>
        <v/>
      </c>
      <c r="H30" s="647" t="str">
        <f t="shared" si="3"/>
        <v/>
      </c>
      <c r="J30" s="650" t="str">
        <f t="shared" si="4"/>
        <v/>
      </c>
      <c r="K30" s="651" t="str">
        <f t="shared" si="5"/>
        <v/>
      </c>
      <c r="L30" s="501">
        <v>0</v>
      </c>
      <c r="M30" s="147" t="str">
        <f t="shared" si="6"/>
        <v/>
      </c>
      <c r="N30" s="663"/>
      <c r="O30" s="664"/>
      <c r="P30" s="664"/>
      <c r="Q30" s="665"/>
      <c r="R30" s="147"/>
    </row>
    <row r="31" spans="2:23" ht="21.95" hidden="1" customHeight="1">
      <c r="B31" s="644"/>
      <c r="C31" s="1773" t="str">
        <f t="shared" si="0"/>
        <v/>
      </c>
      <c r="D31" s="1774"/>
      <c r="E31" s="510"/>
      <c r="F31" s="645"/>
      <c r="G31" s="646" t="str">
        <f t="shared" si="2"/>
        <v/>
      </c>
      <c r="H31" s="647" t="str">
        <f t="shared" si="3"/>
        <v/>
      </c>
      <c r="J31" s="650" t="str">
        <f t="shared" si="4"/>
        <v/>
      </c>
      <c r="K31" s="651" t="str">
        <f t="shared" si="5"/>
        <v/>
      </c>
      <c r="L31" s="501">
        <v>0</v>
      </c>
      <c r="M31" s="147" t="str">
        <f t="shared" si="6"/>
        <v/>
      </c>
      <c r="N31" s="663"/>
      <c r="O31" s="664"/>
      <c r="P31" s="664"/>
      <c r="Q31" s="665"/>
      <c r="R31" s="147"/>
    </row>
    <row r="32" spans="2:23" ht="21.95" hidden="1" customHeight="1">
      <c r="B32" s="644"/>
      <c r="C32" s="1773" t="str">
        <f t="shared" si="0"/>
        <v/>
      </c>
      <c r="D32" s="1774"/>
      <c r="E32" s="510"/>
      <c r="F32" s="645"/>
      <c r="G32" s="646" t="str">
        <f t="shared" si="2"/>
        <v/>
      </c>
      <c r="H32" s="647" t="str">
        <f t="shared" si="3"/>
        <v/>
      </c>
      <c r="J32" s="650" t="str">
        <f t="shared" si="4"/>
        <v/>
      </c>
      <c r="K32" s="651" t="str">
        <f t="shared" si="5"/>
        <v/>
      </c>
      <c r="L32" s="501">
        <v>0</v>
      </c>
      <c r="M32" s="147" t="str">
        <f t="shared" si="6"/>
        <v/>
      </c>
      <c r="N32" s="663"/>
      <c r="O32" s="664"/>
      <c r="P32" s="664"/>
      <c r="Q32" s="665"/>
      <c r="R32" s="147"/>
    </row>
    <row r="33" spans="2:18" ht="21.95" hidden="1" customHeight="1">
      <c r="B33" s="644"/>
      <c r="C33" s="1773" t="str">
        <f t="shared" si="0"/>
        <v/>
      </c>
      <c r="D33" s="1774"/>
      <c r="E33" s="510"/>
      <c r="F33" s="645"/>
      <c r="G33" s="646" t="str">
        <f t="shared" si="2"/>
        <v/>
      </c>
      <c r="H33" s="647" t="str">
        <f t="shared" si="3"/>
        <v/>
      </c>
      <c r="J33" s="650" t="str">
        <f t="shared" si="4"/>
        <v/>
      </c>
      <c r="K33" s="651" t="str">
        <f t="shared" si="5"/>
        <v/>
      </c>
      <c r="L33" s="501">
        <v>0</v>
      </c>
      <c r="M33" s="147" t="str">
        <f t="shared" si="6"/>
        <v/>
      </c>
      <c r="N33" s="663"/>
      <c r="O33" s="664"/>
      <c r="P33" s="664"/>
      <c r="Q33" s="665"/>
      <c r="R33" s="147"/>
    </row>
    <row r="34" spans="2:18" ht="21.95" hidden="1" customHeight="1">
      <c r="B34" s="644"/>
      <c r="C34" s="1773" t="str">
        <f t="shared" si="0"/>
        <v/>
      </c>
      <c r="D34" s="1774"/>
      <c r="E34" s="510"/>
      <c r="F34" s="645"/>
      <c r="G34" s="646" t="str">
        <f t="shared" si="2"/>
        <v/>
      </c>
      <c r="H34" s="647" t="str">
        <f t="shared" si="3"/>
        <v/>
      </c>
      <c r="J34" s="650" t="str">
        <f t="shared" si="4"/>
        <v/>
      </c>
      <c r="K34" s="651" t="str">
        <f t="shared" si="5"/>
        <v/>
      </c>
      <c r="L34" s="501">
        <v>0</v>
      </c>
      <c r="M34" s="147" t="str">
        <f t="shared" si="6"/>
        <v/>
      </c>
      <c r="N34" s="663"/>
      <c r="O34" s="664"/>
      <c r="P34" s="664"/>
      <c r="Q34" s="665"/>
      <c r="R34" s="147"/>
    </row>
    <row r="35" spans="2:18" ht="26.25" customHeight="1">
      <c r="B35" s="1775" t="s">
        <v>119</v>
      </c>
      <c r="C35" s="1775"/>
      <c r="D35" s="1775"/>
      <c r="E35" s="1775"/>
      <c r="F35" s="1775"/>
      <c r="G35" s="1775"/>
      <c r="H35" s="648">
        <f>IFERROR(ROUND(SUM(H7:H34)/100,0)*100,"")</f>
        <v>0</v>
      </c>
      <c r="J35" s="652"/>
      <c r="K35" s="653"/>
      <c r="L35" s="505"/>
      <c r="N35" s="668"/>
      <c r="O35" s="669"/>
      <c r="P35" s="669"/>
      <c r="Q35" s="670"/>
    </row>
    <row r="36" spans="2:18" ht="21.95" customHeight="1">
      <c r="B36" s="5"/>
      <c r="E36" s="8"/>
      <c r="G36" s="6"/>
      <c r="H36" s="5"/>
      <c r="K36" s="5"/>
      <c r="L36" s="505"/>
    </row>
    <row r="37" spans="2:18" ht="21.95" customHeight="1">
      <c r="B37" s="5"/>
      <c r="E37" s="8"/>
      <c r="G37" s="6"/>
      <c r="H37" s="5"/>
      <c r="K37" s="5"/>
      <c r="L37" s="505"/>
    </row>
    <row r="38" spans="2:18" ht="21.95" customHeight="1">
      <c r="B38" s="5"/>
      <c r="E38" s="8"/>
      <c r="G38" s="6"/>
      <c r="H38" s="5"/>
      <c r="K38" s="5"/>
      <c r="L38" s="505"/>
    </row>
    <row r="39" spans="2:18" ht="21.95" customHeight="1">
      <c r="B39" s="5"/>
      <c r="E39" s="8"/>
      <c r="G39" s="6"/>
      <c r="H39" s="5"/>
      <c r="K39" s="5"/>
      <c r="L39" s="505"/>
    </row>
    <row r="40" spans="2:18" ht="21.95" customHeight="1">
      <c r="B40" s="5"/>
      <c r="E40" s="8"/>
      <c r="G40" s="6"/>
      <c r="H40" s="5"/>
      <c r="K40" s="5"/>
      <c r="L40" s="505"/>
    </row>
    <row r="41" spans="2:18" ht="21.95" customHeight="1">
      <c r="B41" s="5"/>
      <c r="E41" s="8"/>
      <c r="G41" s="6"/>
      <c r="H41" s="5"/>
      <c r="K41" s="5"/>
      <c r="L41" s="505"/>
    </row>
    <row r="42" spans="2:18" ht="21.95" customHeight="1">
      <c r="B42" s="5"/>
      <c r="E42" s="8"/>
      <c r="G42" s="6"/>
      <c r="H42" s="5"/>
      <c r="K42" s="5"/>
      <c r="L42" s="505"/>
    </row>
    <row r="43" spans="2:18" ht="21.95" customHeight="1">
      <c r="B43" s="5"/>
      <c r="E43" s="8"/>
      <c r="G43" s="6"/>
      <c r="H43" s="5"/>
      <c r="K43" s="5"/>
      <c r="L43" s="505"/>
    </row>
    <row r="44" spans="2:18" ht="21.95" customHeight="1">
      <c r="B44" s="5"/>
      <c r="E44" s="8"/>
      <c r="G44" s="6"/>
      <c r="H44" s="5"/>
      <c r="K44" s="5"/>
      <c r="L44" s="505"/>
    </row>
    <row r="45" spans="2:18" ht="20.100000000000001" customHeight="1">
      <c r="B45" s="5"/>
      <c r="E45" s="8"/>
      <c r="G45" s="6"/>
      <c r="H45" s="5"/>
      <c r="K45" s="5"/>
      <c r="L45" s="505"/>
    </row>
    <row r="46" spans="2:18" ht="20.100000000000001" customHeight="1">
      <c r="B46" s="5"/>
      <c r="E46" s="8"/>
      <c r="G46" s="6"/>
      <c r="H46" s="5"/>
      <c r="K46" s="5"/>
      <c r="L46" s="505"/>
    </row>
  </sheetData>
  <mergeCells count="48">
    <mergeCell ref="B1:H1"/>
    <mergeCell ref="B3:H3"/>
    <mergeCell ref="C6:D6"/>
    <mergeCell ref="C5:D5"/>
    <mergeCell ref="B2:H2"/>
    <mergeCell ref="B35:G35"/>
    <mergeCell ref="J5:K5"/>
    <mergeCell ref="V9:W9"/>
    <mergeCell ref="N5:Q6"/>
    <mergeCell ref="N8:Q8"/>
    <mergeCell ref="N9:Q9"/>
    <mergeCell ref="N16:Q16"/>
    <mergeCell ref="N17:Q17"/>
    <mergeCell ref="N18:Q18"/>
    <mergeCell ref="N10:Q10"/>
    <mergeCell ref="N11:Q11"/>
    <mergeCell ref="N12:Q12"/>
    <mergeCell ref="N13:Q13"/>
    <mergeCell ref="N14:Q14"/>
    <mergeCell ref="N15:Q15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32:D32"/>
    <mergeCell ref="C33:D33"/>
    <mergeCell ref="C34:D34"/>
    <mergeCell ref="C27:D27"/>
    <mergeCell ref="C28:D28"/>
    <mergeCell ref="C29:D29"/>
    <mergeCell ref="C30:D30"/>
    <mergeCell ref="C31:D31"/>
  </mergeCells>
  <dataValidations count="4">
    <dataValidation type="list" allowBlank="1" showInputMessage="1" showErrorMessage="1" sqref="P3" xr:uid="{00000000-0002-0000-0900-000000000000}">
      <formula1>price_type_option</formula1>
    </dataValidation>
    <dataValidation type="list" allowBlank="1" showInputMessage="1" showErrorMessage="1" sqref="N2" xr:uid="{00000000-0002-0000-0900-000002000000}">
      <formula1>week_option</formula1>
    </dataValidation>
    <dataValidation type="list" allowBlank="1" showInputMessage="1" showErrorMessage="1" sqref="F7:F27 G7:G34" xr:uid="{13F524DE-1820-40A6-936F-D21C4A28D6D2}">
      <formula1>uom_option</formula1>
    </dataValidation>
    <dataValidation type="list" allowBlank="1" showInputMessage="1" showErrorMessage="1" sqref="N7:N35" xr:uid="{00000000-0002-0000-0900-000001000000}">
      <formula1>product_name_option</formula1>
    </dataValidation>
  </dataValidations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770" r:id="rId4" name="Button 2">
              <controlPr defaultSize="0" print="0" autoFill="0" autoPict="0" macro="[0]!goToHome">
                <anchor moveWithCells="1" sizeWithCells="1">
                  <from>
                    <xdr:col>9</xdr:col>
                    <xdr:colOff>161925</xdr:colOff>
                    <xdr:row>1</xdr:row>
                    <xdr:rowOff>142875</xdr:rowOff>
                  </from>
                  <to>
                    <xdr:col>10</xdr:col>
                    <xdr:colOff>457200</xdr:colOff>
                    <xdr:row>1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35"/>
  </sheetPr>
  <dimension ref="C1:AW84"/>
  <sheetViews>
    <sheetView showGridLines="0" topLeftCell="A2" zoomScale="90" zoomScaleNormal="90" workbookViewId="0">
      <pane ySplit="2" topLeftCell="A4" activePane="bottomLeft" state="frozen"/>
      <selection activeCell="A2" sqref="A2"/>
      <selection pane="bottomLeft" activeCell="I18" sqref="I18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3.710937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6" customWidth="1"/>
    <col min="21" max="21" width="21" bestFit="1" customWidth="1"/>
    <col min="22" max="22" width="16.28515625" bestFit="1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259" bestFit="1" customWidth="1"/>
    <col min="30" max="30" width="2.85546875" customWidth="1"/>
    <col min="31" max="45" width="5.7109375" customWidth="1"/>
    <col min="46" max="46" width="21" bestFit="1" customWidth="1"/>
  </cols>
  <sheetData>
    <row r="1" spans="3:49" ht="10.5" hidden="1" customHeight="1"/>
    <row r="2" spans="3:49" ht="5.25" customHeight="1"/>
    <row r="3" spans="3:49" s="379" customFormat="1" ht="60.75">
      <c r="C3" s="1795" t="s">
        <v>528</v>
      </c>
      <c r="D3" s="1795"/>
      <c r="E3" s="1795"/>
      <c r="F3" s="1795"/>
      <c r="G3" s="1795"/>
      <c r="H3" s="1795"/>
      <c r="I3" s="1795"/>
      <c r="J3" s="1795"/>
      <c r="K3" s="1795"/>
      <c r="L3" s="1795"/>
      <c r="M3" s="1795"/>
      <c r="N3" s="1795"/>
      <c r="O3" s="1795"/>
      <c r="P3" s="1795"/>
      <c r="Q3" s="1795"/>
      <c r="R3" s="1795"/>
      <c r="S3" s="1795"/>
      <c r="T3" s="1795"/>
      <c r="U3" s="1795"/>
      <c r="V3" s="1795"/>
      <c r="AC3" s="1116"/>
    </row>
    <row r="4" spans="3:49" ht="3" customHeight="1"/>
    <row r="5" spans="3:49" ht="24.95" hidden="1" customHeight="1"/>
    <row r="6" spans="3:49" ht="36.75">
      <c r="C6" s="1803" t="s">
        <v>1716</v>
      </c>
      <c r="D6" s="1804"/>
      <c r="E6" s="1804"/>
      <c r="F6" s="1804"/>
      <c r="G6" s="1804"/>
      <c r="H6" s="1805"/>
      <c r="K6" s="126"/>
      <c r="L6" s="908" t="s">
        <v>208</v>
      </c>
      <c r="M6" s="447"/>
      <c r="N6" s="1797" t="s">
        <v>98</v>
      </c>
      <c r="O6" s="1798"/>
      <c r="P6" s="1798"/>
      <c r="Q6" s="1798"/>
      <c r="R6" s="1799"/>
      <c r="S6"/>
      <c r="T6" s="1797" t="s">
        <v>889</v>
      </c>
      <c r="U6" s="1798"/>
      <c r="V6" s="1799"/>
    </row>
    <row r="7" spans="3:49" ht="24.95" customHeight="1">
      <c r="C7" s="446" t="s">
        <v>59</v>
      </c>
      <c r="D7" s="446" t="s">
        <v>865</v>
      </c>
      <c r="E7" s="446" t="s">
        <v>411</v>
      </c>
      <c r="F7" s="446" t="s">
        <v>866</v>
      </c>
      <c r="G7" s="446" t="s">
        <v>867</v>
      </c>
      <c r="H7" s="446" t="s">
        <v>868</v>
      </c>
      <c r="I7" s="127"/>
      <c r="J7" s="127"/>
      <c r="K7" s="212"/>
      <c r="L7" s="956" t="s">
        <v>1963</v>
      </c>
      <c r="M7"/>
      <c r="N7" s="956" t="s">
        <v>1901</v>
      </c>
      <c r="O7" s="956" t="s">
        <v>1959</v>
      </c>
      <c r="P7" s="956" t="s">
        <v>1964</v>
      </c>
      <c r="Q7" s="956" t="s">
        <v>1965</v>
      </c>
      <c r="R7" s="956"/>
      <c r="S7" s="129"/>
      <c r="T7" s="955" t="s">
        <v>1901</v>
      </c>
      <c r="U7" s="955" t="s">
        <v>1959</v>
      </c>
      <c r="V7" s="955" t="s">
        <v>1962</v>
      </c>
      <c r="AC7" s="259" t="s">
        <v>2401</v>
      </c>
      <c r="AE7" s="260" t="str">
        <f>D9</f>
        <v>គោកស្នួល ខនស្រ្តាក់សិន មេធៀរៀល</v>
      </c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</row>
    <row r="8" spans="3:49" ht="24.95" customHeight="1">
      <c r="C8" s="410" t="s">
        <v>11</v>
      </c>
      <c r="D8" s="410" t="s">
        <v>13</v>
      </c>
      <c r="E8" s="410" t="s">
        <v>862</v>
      </c>
      <c r="F8" s="410" t="s">
        <v>863</v>
      </c>
      <c r="G8" s="410" t="s">
        <v>2345</v>
      </c>
      <c r="H8" s="410" t="s">
        <v>864</v>
      </c>
      <c r="I8" s="121"/>
      <c r="J8" s="121"/>
      <c r="K8" s="212"/>
      <c r="L8" s="285" t="s">
        <v>17</v>
      </c>
      <c r="M8"/>
      <c r="N8" s="283">
        <v>1</v>
      </c>
      <c r="O8" s="285" t="s">
        <v>268</v>
      </c>
      <c r="P8" s="442" t="str">
        <f ca="1">R14</f>
        <v>01/05/2026</v>
      </c>
      <c r="Q8" s="442">
        <f ca="1">P8+6</f>
        <v>46149</v>
      </c>
      <c r="R8" s="435" t="str">
        <f>N8&amp;"."&amp;O8</f>
        <v>1.សប្តាហ៍ទី1</v>
      </c>
      <c r="S8"/>
      <c r="T8" s="439" t="s">
        <v>62</v>
      </c>
      <c r="U8" s="444" t="s">
        <v>23</v>
      </c>
      <c r="V8" s="445" t="s">
        <v>24</v>
      </c>
      <c r="AC8" s="259" t="s">
        <v>2402</v>
      </c>
      <c r="AE8" s="260" t="str">
        <f>E9</f>
        <v>KORK SNUOL CONSTRUCTION MATERIAL</v>
      </c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</row>
    <row r="9" spans="3:49" ht="29.25" customHeight="1" thickBot="1">
      <c r="C9" s="281">
        <v>1</v>
      </c>
      <c r="D9" s="493" t="s">
        <v>1934</v>
      </c>
      <c r="E9" s="1030" t="s">
        <v>1935</v>
      </c>
      <c r="F9" s="281">
        <v>1</v>
      </c>
      <c r="G9" s="281" t="s">
        <v>2346</v>
      </c>
      <c r="H9" s="281">
        <v>2</v>
      </c>
      <c r="I9"/>
      <c r="K9" s="212"/>
      <c r="L9" s="285" t="s">
        <v>20</v>
      </c>
      <c r="M9"/>
      <c r="N9" s="283">
        <v>2</v>
      </c>
      <c r="O9" s="285" t="s">
        <v>269</v>
      </c>
      <c r="P9" s="442">
        <f ca="1">Q8+1</f>
        <v>46150</v>
      </c>
      <c r="Q9" s="442">
        <f ca="1">P9+6</f>
        <v>46156</v>
      </c>
      <c r="R9" s="435" t="str">
        <f>N9&amp;"."&amp;O9</f>
        <v>2.សប្តាហ៍ទី2</v>
      </c>
      <c r="S9"/>
      <c r="T9" s="439" t="s">
        <v>65</v>
      </c>
      <c r="U9" s="444" t="s">
        <v>28</v>
      </c>
      <c r="V9" s="445" t="s">
        <v>29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3:49" ht="24.95" customHeight="1" thickBot="1">
      <c r="I10"/>
      <c r="J10" s="130"/>
      <c r="K10" s="212"/>
      <c r="L10" s="285" t="s">
        <v>26</v>
      </c>
      <c r="M10" s="130"/>
      <c r="N10" s="283">
        <v>3</v>
      </c>
      <c r="O10" s="285" t="s">
        <v>270</v>
      </c>
      <c r="P10" s="442">
        <f ca="1">Q9+1</f>
        <v>46157</v>
      </c>
      <c r="Q10" s="442">
        <f ca="1">P10+6</f>
        <v>46163</v>
      </c>
      <c r="R10" s="435" t="str">
        <f>N10&amp;"."&amp;O10</f>
        <v>3.សប្តាហ៍ទី3</v>
      </c>
      <c r="S10"/>
      <c r="T10" s="439" t="s">
        <v>67</v>
      </c>
      <c r="U10" s="444" t="s">
        <v>1772</v>
      </c>
      <c r="V10" s="445" t="s">
        <v>24</v>
      </c>
      <c r="AC10" s="342" t="s">
        <v>2403</v>
      </c>
      <c r="AD10" s="3"/>
      <c r="AE10" s="1156" t="s">
        <v>153</v>
      </c>
      <c r="AF10" s="1156">
        <v>1</v>
      </c>
      <c r="AG10" s="1156">
        <v>1</v>
      </c>
      <c r="AH10" s="1156">
        <v>6</v>
      </c>
      <c r="AI10" s="1157" t="s">
        <v>154</v>
      </c>
      <c r="AJ10" s="1156">
        <v>2</v>
      </c>
      <c r="AK10" s="1156">
        <v>6</v>
      </c>
      <c r="AL10" s="1156">
        <v>0</v>
      </c>
      <c r="AM10" s="1156">
        <v>0</v>
      </c>
      <c r="AN10" s="1156">
        <v>0</v>
      </c>
      <c r="AO10" s="1156">
        <v>0</v>
      </c>
      <c r="AP10" s="1156">
        <v>1</v>
      </c>
      <c r="AQ10" s="1156">
        <v>2</v>
      </c>
      <c r="AR10" s="1156">
        <v>7</v>
      </c>
      <c r="AS10" s="1156">
        <v>1</v>
      </c>
      <c r="AU10" s="1117"/>
      <c r="AV10" s="3"/>
      <c r="AW10" s="3"/>
    </row>
    <row r="11" spans="3:49" ht="24.95" customHeight="1">
      <c r="I11"/>
      <c r="J11" s="130"/>
      <c r="K11" s="212"/>
      <c r="L11" s="285" t="s">
        <v>32</v>
      </c>
      <c r="M11" s="130"/>
      <c r="N11" s="283">
        <v>4</v>
      </c>
      <c r="O11" s="285" t="s">
        <v>271</v>
      </c>
      <c r="P11" s="442">
        <f ca="1">Q10+1</f>
        <v>46164</v>
      </c>
      <c r="Q11" s="442">
        <f ca="1">EOMONTH(R14,0)</f>
        <v>46173</v>
      </c>
      <c r="R11" s="435" t="str">
        <f>N11&amp;"."&amp;O11</f>
        <v>4.សប្តាហ៍ទី4</v>
      </c>
      <c r="S11"/>
      <c r="T11" s="439" t="s">
        <v>69</v>
      </c>
      <c r="U11" s="444" t="s">
        <v>1773</v>
      </c>
      <c r="V11" s="445" t="s">
        <v>29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3:49" ht="24.95" customHeight="1">
      <c r="E12"/>
      <c r="F12"/>
      <c r="G12"/>
      <c r="H12"/>
      <c r="I12"/>
      <c r="K12" s="212"/>
      <c r="L12" s="285" t="s">
        <v>35</v>
      </c>
      <c r="N12" s="283">
        <v>5</v>
      </c>
      <c r="O12" s="443" t="str">
        <f>MID(P14,4,100)</f>
        <v>ឧសភា</v>
      </c>
      <c r="P12" s="442" t="str">
        <f ca="1">R14</f>
        <v>01/05/2026</v>
      </c>
      <c r="Q12" s="442">
        <f ca="1">EOMONTH(R14,0)</f>
        <v>46173</v>
      </c>
      <c r="R12" s="435" t="str">
        <f>N12&amp;"."&amp;O12</f>
        <v>5.ឧសភា</v>
      </c>
      <c r="S12"/>
      <c r="T12" s="439" t="s">
        <v>70</v>
      </c>
      <c r="U12" s="444" t="s">
        <v>1774</v>
      </c>
      <c r="V12" s="445" t="s">
        <v>38</v>
      </c>
      <c r="AE12" s="1792"/>
      <c r="AF12" s="1792"/>
      <c r="AG12" s="1792"/>
      <c r="AH12" s="1792"/>
      <c r="AI12" s="1792"/>
      <c r="AJ12" s="1792"/>
      <c r="AK12" s="1792"/>
      <c r="AL12" s="1792"/>
      <c r="AM12" s="1792"/>
      <c r="AN12" s="1792"/>
      <c r="AO12" s="1792"/>
      <c r="AP12" s="1792"/>
      <c r="AQ12" s="1792"/>
      <c r="AR12" s="1792"/>
      <c r="AS12" s="1792"/>
      <c r="AT12" s="1792"/>
      <c r="AU12" s="1792"/>
    </row>
    <row r="13" spans="3:49" ht="24.95" customHeight="1">
      <c r="E13"/>
      <c r="F13"/>
      <c r="G13"/>
      <c r="H13"/>
      <c r="I13"/>
      <c r="J13" s="130"/>
      <c r="K13" s="212"/>
      <c r="L13" s="285" t="s">
        <v>37</v>
      </c>
      <c r="M13" s="3"/>
      <c r="N13" s="126"/>
      <c r="O13" s="137"/>
      <c r="P13" s="136"/>
      <c r="Q13" s="136"/>
      <c r="R13"/>
      <c r="S13"/>
      <c r="T13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</row>
    <row r="14" spans="3:49" ht="24.95" customHeight="1">
      <c r="E14"/>
      <c r="F14"/>
      <c r="G14"/>
      <c r="H14"/>
      <c r="I14"/>
      <c r="K14" s="212"/>
      <c r="L14" s="285" t="s">
        <v>40</v>
      </c>
      <c r="M14"/>
      <c r="N14" s="258" t="s">
        <v>49</v>
      </c>
      <c r="O14" s="138"/>
      <c r="P14" s="257" t="s">
        <v>35</v>
      </c>
      <c r="Q14" s="193">
        <f ca="1">TODAY()</f>
        <v>46185</v>
      </c>
      <c r="R14" s="998" t="str">
        <f ca="1">"01/"&amp;MID(P14,1,2)&amp;"/"&amp;YEAR(Q14)</f>
        <v>01/05/2026</v>
      </c>
      <c r="S14"/>
      <c r="T1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</row>
    <row r="15" spans="3:49" ht="24.95" customHeight="1">
      <c r="E15"/>
      <c r="F15"/>
      <c r="G15"/>
      <c r="H15"/>
      <c r="I15"/>
      <c r="J15" s="131"/>
      <c r="K15" s="212"/>
      <c r="L15" s="285" t="s">
        <v>41</v>
      </c>
      <c r="M15"/>
      <c r="N15" s="133"/>
      <c r="O15" s="138"/>
      <c r="P15" s="136"/>
      <c r="Q15" s="136"/>
      <c r="R15"/>
      <c r="S15"/>
      <c r="T15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</row>
    <row r="16" spans="3:49" ht="24.95" customHeight="1">
      <c r="E16"/>
      <c r="F16"/>
      <c r="G16"/>
      <c r="H16"/>
      <c r="I16"/>
      <c r="J16" s="131"/>
      <c r="K16" s="212"/>
      <c r="L16" s="285" t="s">
        <v>43</v>
      </c>
      <c r="M16"/>
      <c r="N16" s="133"/>
      <c r="O16" s="138"/>
      <c r="P16" s="136"/>
      <c r="Q16" s="136"/>
      <c r="R16"/>
      <c r="S16"/>
      <c r="T16"/>
    </row>
    <row r="17" spans="3:29" ht="24.95" customHeight="1">
      <c r="E17"/>
      <c r="F17"/>
      <c r="G17"/>
      <c r="H17"/>
      <c r="I17"/>
      <c r="J17" s="132"/>
      <c r="K17" s="212"/>
      <c r="L17" s="285" t="s">
        <v>45</v>
      </c>
      <c r="M17"/>
      <c r="N17" s="133"/>
      <c r="O17" s="138"/>
      <c r="P17" s="136"/>
      <c r="Q17" s="136"/>
      <c r="R17"/>
      <c r="S17"/>
      <c r="T17"/>
    </row>
    <row r="18" spans="3:29" ht="24.95" customHeight="1">
      <c r="I18" s="142"/>
      <c r="K18" s="212"/>
      <c r="L18" s="285" t="s">
        <v>47</v>
      </c>
      <c r="M18"/>
      <c r="N18" s="133"/>
      <c r="O18" s="138"/>
      <c r="P18" s="136"/>
      <c r="Q18" s="136"/>
      <c r="R18"/>
      <c r="S18"/>
      <c r="T18"/>
    </row>
    <row r="19" spans="3:29" ht="24.95" customHeight="1">
      <c r="G19" s="193"/>
      <c r="H19" s="193"/>
      <c r="I19" s="193"/>
      <c r="J19" s="193"/>
      <c r="K19" s="134"/>
      <c r="L19" s="285" t="s">
        <v>210</v>
      </c>
      <c r="M19"/>
      <c r="N19" s="133"/>
      <c r="O19" s="138"/>
      <c r="P19" s="136"/>
      <c r="Q19" s="136"/>
      <c r="R19"/>
      <c r="S19"/>
      <c r="T19"/>
    </row>
    <row r="20" spans="3:29" ht="33" customHeight="1">
      <c r="C20" s="1620" t="s">
        <v>58</v>
      </c>
      <c r="D20" s="1620"/>
      <c r="E20" s="1620"/>
      <c r="G20" s="1620" t="s">
        <v>888</v>
      </c>
      <c r="H20" s="1620"/>
      <c r="I20" s="1620"/>
      <c r="J20" s="1620"/>
      <c r="N20" s="1801" t="s">
        <v>390</v>
      </c>
      <c r="O20" s="1801"/>
      <c r="P20" s="1801"/>
      <c r="Q20" s="136"/>
      <c r="R20" s="1801" t="s">
        <v>1937</v>
      </c>
      <c r="S20" s="1801"/>
      <c r="T20" s="1801"/>
      <c r="W20" s="1793" t="s">
        <v>1957</v>
      </c>
      <c r="X20" s="1793"/>
      <c r="Y20" s="1793"/>
    </row>
    <row r="21" spans="3:29" s="13" customFormat="1" ht="20.25" customHeight="1">
      <c r="C21" s="1802" t="s">
        <v>1966</v>
      </c>
      <c r="D21" s="1802"/>
      <c r="E21" s="1802"/>
      <c r="G21" s="1794" t="s">
        <v>1969</v>
      </c>
      <c r="H21" s="1794"/>
      <c r="I21" s="1794"/>
      <c r="J21" s="1794"/>
      <c r="K21" s="141"/>
      <c r="L21" s="135"/>
      <c r="N21" s="1794" t="s">
        <v>1938</v>
      </c>
      <c r="O21" s="1794"/>
      <c r="P21" s="1794"/>
      <c r="Q21" s="961"/>
      <c r="R21" s="1794" t="s">
        <v>1936</v>
      </c>
      <c r="S21" s="1794"/>
      <c r="T21" s="1794"/>
      <c r="W21" s="1794" t="s">
        <v>1968</v>
      </c>
      <c r="X21" s="1794"/>
      <c r="Y21" s="1794"/>
      <c r="AC21" s="204"/>
    </row>
    <row r="22" spans="3:29" ht="5.25" customHeight="1">
      <c r="C22" s="1796"/>
      <c r="D22" s="1796"/>
      <c r="E22" s="1796"/>
      <c r="F22" s="135"/>
      <c r="G22" s="1800"/>
      <c r="H22" s="1800"/>
      <c r="I22" s="1800"/>
      <c r="J22" s="1800"/>
      <c r="K22"/>
      <c r="L22"/>
      <c r="M22"/>
      <c r="O22" s="1029"/>
      <c r="P22" s="1029"/>
      <c r="Q22" s="13"/>
      <c r="S22" s="958"/>
      <c r="T22" s="958"/>
    </row>
    <row r="23" spans="3:29" ht="24.95" customHeight="1">
      <c r="C23" s="957" t="s">
        <v>1901</v>
      </c>
      <c r="D23" s="957" t="s">
        <v>1961</v>
      </c>
      <c r="E23" s="956" t="s">
        <v>1966</v>
      </c>
      <c r="F23" s="135"/>
      <c r="G23" s="954" t="s">
        <v>1901</v>
      </c>
      <c r="H23" s="955" t="s">
        <v>1959</v>
      </c>
      <c r="I23" s="955" t="s">
        <v>1961</v>
      </c>
      <c r="J23" s="955"/>
      <c r="K23"/>
      <c r="L23"/>
      <c r="M23"/>
      <c r="N23" s="954" t="s">
        <v>1901</v>
      </c>
      <c r="O23" s="955" t="s">
        <v>1959</v>
      </c>
      <c r="P23" s="955"/>
      <c r="Q23" s="13"/>
      <c r="R23" s="885" t="s">
        <v>1901</v>
      </c>
      <c r="S23" s="885" t="s">
        <v>1959</v>
      </c>
      <c r="T23" s="885" t="s">
        <v>1960</v>
      </c>
      <c r="W23" s="959" t="s">
        <v>1901</v>
      </c>
      <c r="X23" s="959" t="s">
        <v>1959</v>
      </c>
      <c r="Y23" s="959" t="s">
        <v>1971</v>
      </c>
      <c r="Z23" s="863"/>
    </row>
    <row r="24" spans="3:29" ht="24.95" customHeight="1">
      <c r="C24" s="436" t="s">
        <v>62</v>
      </c>
      <c r="D24" s="436" t="s">
        <v>63</v>
      </c>
      <c r="E24" s="285" t="s">
        <v>64</v>
      </c>
      <c r="F24" s="127"/>
      <c r="G24" s="283">
        <v>1</v>
      </c>
      <c r="H24" s="285" t="s">
        <v>1778</v>
      </c>
      <c r="I24" s="282">
        <v>0</v>
      </c>
      <c r="J24" s="285" t="str">
        <f>IF(AND(G24&lt;&gt;"",H24&lt;&gt;""),TEXT(G24,"00")&amp;"."&amp;H24,"")</f>
        <v>01.អាករ ០%</v>
      </c>
      <c r="K24"/>
      <c r="L24"/>
      <c r="M24"/>
      <c r="N24" s="328">
        <v>1</v>
      </c>
      <c r="O24" s="285" t="s">
        <v>391</v>
      </c>
      <c r="P24" s="285" t="str">
        <f>N24&amp;"."&amp;O24</f>
        <v>1.បញ្ចូលស្តុកថ្មី</v>
      </c>
      <c r="Q24" s="13"/>
      <c r="R24" s="887">
        <v>1</v>
      </c>
      <c r="S24" s="886" t="s">
        <v>1902</v>
      </c>
      <c r="T24" s="887">
        <v>0</v>
      </c>
      <c r="U24" s="259" t="str">
        <f>IF(AND(R24&lt;&gt;"",S24&lt;&gt;""),TEXT(R24,"00")&amp;"."&amp;S24,"")</f>
        <v>01.COD</v>
      </c>
      <c r="W24" s="960">
        <v>1</v>
      </c>
      <c r="X24" s="960" t="s">
        <v>1967</v>
      </c>
      <c r="Y24" s="960" t="s">
        <v>1973</v>
      </c>
      <c r="Z24" s="1000" t="str">
        <f>IF(AND(W24&lt;&gt;"",X24&lt;&gt;""),W24&amp;"."&amp;X24,"")</f>
        <v>1.Commercial Invoice</v>
      </c>
    </row>
    <row r="25" spans="3:29" ht="24.95" customHeight="1">
      <c r="C25" s="436" t="s">
        <v>65</v>
      </c>
      <c r="D25" s="436">
        <v>5</v>
      </c>
      <c r="E25" s="285" t="s">
        <v>66</v>
      </c>
      <c r="F25" s="127"/>
      <c r="G25" s="283">
        <v>2</v>
      </c>
      <c r="H25" s="285" t="s">
        <v>860</v>
      </c>
      <c r="I25" s="282" t="s">
        <v>67</v>
      </c>
      <c r="J25" s="285" t="str">
        <f t="shared" ref="J25:J35" si="0">IF(AND(G25&lt;&gt;"",H25&lt;&gt;""),TEXT(G25,"00")&amp;"."&amp;H25,"")</f>
        <v>02.អាករ ៣%</v>
      </c>
      <c r="K25"/>
      <c r="L25"/>
      <c r="M25"/>
      <c r="N25" s="328">
        <v>2</v>
      </c>
      <c r="O25" s="285" t="s">
        <v>251</v>
      </c>
      <c r="P25" s="285" t="str">
        <f>N25&amp;"."&amp;O25</f>
        <v>2.តំរឹមស្តុក</v>
      </c>
      <c r="Q25" s="13"/>
      <c r="R25" s="887">
        <v>2</v>
      </c>
      <c r="S25" s="886" t="s">
        <v>1903</v>
      </c>
      <c r="T25" s="887">
        <v>90</v>
      </c>
      <c r="U25" s="259" t="str">
        <f t="shared" ref="U25:U29" si="1">IF(AND(R25&lt;&gt;"",S25&lt;&gt;""),TEXT(R25,"00")&amp;"."&amp;S25,"")</f>
        <v>02.Three Month</v>
      </c>
      <c r="W25" s="960">
        <v>2</v>
      </c>
      <c r="X25" s="960" t="s">
        <v>1972</v>
      </c>
      <c r="Y25" s="960" t="s">
        <v>1974</v>
      </c>
      <c r="Z25" s="1000" t="str">
        <f>IF(AND(W25&lt;&gt;"",X25&lt;&gt;""),W25&amp;"."&amp;X25,"")</f>
        <v>2.Invoice Normal</v>
      </c>
    </row>
    <row r="26" spans="3:29" ht="24.95" customHeight="1">
      <c r="C26" s="436" t="s">
        <v>67</v>
      </c>
      <c r="D26" s="436">
        <v>10</v>
      </c>
      <c r="E26" s="285"/>
      <c r="F26" s="127"/>
      <c r="G26" s="283">
        <v>3</v>
      </c>
      <c r="H26" s="285" t="s">
        <v>861</v>
      </c>
      <c r="I26" s="282" t="s">
        <v>70</v>
      </c>
      <c r="J26" s="285" t="str">
        <f t="shared" si="0"/>
        <v>03.អាករ ៥%</v>
      </c>
      <c r="N26" s="437"/>
      <c r="O26" s="438"/>
      <c r="P26" s="439"/>
      <c r="Q26" s="13"/>
      <c r="R26" s="887">
        <v>3</v>
      </c>
      <c r="S26" s="886" t="s">
        <v>1904</v>
      </c>
      <c r="T26" s="887">
        <v>180</v>
      </c>
      <c r="U26" s="259" t="str">
        <f t="shared" si="1"/>
        <v>03.Six Month</v>
      </c>
      <c r="W26" s="539"/>
      <c r="X26" s="539"/>
      <c r="Y26" s="539"/>
    </row>
    <row r="27" spans="3:29" ht="24.95" customHeight="1">
      <c r="C27" s="436" t="s">
        <v>69</v>
      </c>
      <c r="D27" s="436">
        <v>15</v>
      </c>
      <c r="E27" s="285"/>
      <c r="F27" s="127"/>
      <c r="G27" s="283">
        <v>4</v>
      </c>
      <c r="H27" s="285" t="s">
        <v>856</v>
      </c>
      <c r="I27" s="282" t="s">
        <v>33</v>
      </c>
      <c r="J27" s="285" t="str">
        <f t="shared" si="0"/>
        <v>04.អាករ ១០%</v>
      </c>
      <c r="N27" s="437"/>
      <c r="O27" s="438"/>
      <c r="P27" s="439"/>
      <c r="Q27" s="13"/>
      <c r="R27" s="887">
        <v>4</v>
      </c>
      <c r="S27" s="886" t="s">
        <v>1905</v>
      </c>
      <c r="T27" s="887">
        <v>210</v>
      </c>
      <c r="U27" s="259" t="str">
        <f t="shared" si="1"/>
        <v>04.Eight Month</v>
      </c>
      <c r="W27" s="539"/>
      <c r="X27" s="539"/>
      <c r="Y27" s="539"/>
    </row>
    <row r="28" spans="3:29" ht="24.95" customHeight="1">
      <c r="C28" s="436" t="s">
        <v>70</v>
      </c>
      <c r="D28" s="436">
        <v>20</v>
      </c>
      <c r="E28" s="285"/>
      <c r="F28" s="127"/>
      <c r="G28" s="283">
        <v>5</v>
      </c>
      <c r="H28" s="285" t="s">
        <v>857</v>
      </c>
      <c r="I28" s="282" t="s">
        <v>52</v>
      </c>
      <c r="J28" s="285" t="str">
        <f t="shared" si="0"/>
        <v>05.អាករ ១៥%</v>
      </c>
      <c r="N28" s="437"/>
      <c r="O28" s="438"/>
      <c r="P28" s="439"/>
      <c r="Q28" s="13"/>
      <c r="R28" s="887">
        <v>5</v>
      </c>
      <c r="S28" s="886" t="s">
        <v>1906</v>
      </c>
      <c r="T28" s="887">
        <v>300</v>
      </c>
      <c r="U28" s="259" t="str">
        <f t="shared" si="1"/>
        <v>05.Ten Month</v>
      </c>
      <c r="W28" s="539"/>
      <c r="X28" s="539"/>
      <c r="Y28" s="539"/>
    </row>
    <row r="29" spans="3:29" ht="24.95" customHeight="1">
      <c r="C29" s="436" t="s">
        <v>71</v>
      </c>
      <c r="D29" s="436">
        <v>25</v>
      </c>
      <c r="E29" s="285"/>
      <c r="F29" s="127"/>
      <c r="G29" s="283">
        <v>6</v>
      </c>
      <c r="H29" s="285" t="s">
        <v>858</v>
      </c>
      <c r="I29" s="282" t="s">
        <v>57</v>
      </c>
      <c r="J29" s="285" t="str">
        <f t="shared" si="0"/>
        <v>06.អាករ ២០%</v>
      </c>
      <c r="N29" s="437"/>
      <c r="O29" s="438"/>
      <c r="P29" s="439"/>
      <c r="Q29" s="13"/>
      <c r="R29" s="887">
        <v>6</v>
      </c>
      <c r="S29" s="886" t="s">
        <v>1907</v>
      </c>
      <c r="T29" s="887">
        <v>365</v>
      </c>
      <c r="U29" s="259" t="str">
        <f t="shared" si="1"/>
        <v>06.Twelve Month</v>
      </c>
      <c r="W29" s="539"/>
      <c r="X29" s="539"/>
      <c r="Y29" s="539"/>
    </row>
    <row r="30" spans="3:29" ht="24.95" customHeight="1">
      <c r="C30" s="436" t="s">
        <v>1769</v>
      </c>
      <c r="D30" s="436">
        <v>30</v>
      </c>
      <c r="E30" s="285"/>
      <c r="F30" s="135"/>
      <c r="G30" s="283">
        <v>7</v>
      </c>
      <c r="H30" s="285" t="s">
        <v>859</v>
      </c>
      <c r="I30" s="282" t="s">
        <v>68</v>
      </c>
      <c r="J30" s="285" t="str">
        <f t="shared" si="0"/>
        <v>07.អាករ ២៥%</v>
      </c>
      <c r="N30" s="437"/>
      <c r="O30" s="438"/>
      <c r="P30" s="439"/>
      <c r="Q30" s="13"/>
      <c r="R30" s="999"/>
      <c r="S30" s="884"/>
      <c r="T30" s="13"/>
      <c r="U30" s="259" t="str">
        <f t="shared" ref="U30:U43" si="2">IF(AND(R30&lt;&gt;"",S30&lt;&gt;""),R30&amp;"."&amp;S30,"")</f>
        <v/>
      </c>
    </row>
    <row r="31" spans="3:29" ht="24.95" customHeight="1">
      <c r="C31" s="436" t="s">
        <v>1770</v>
      </c>
      <c r="D31" s="436">
        <v>35</v>
      </c>
      <c r="E31" s="285"/>
      <c r="G31" s="283"/>
      <c r="H31" s="285"/>
      <c r="I31" s="282"/>
      <c r="J31" s="285" t="str">
        <f t="shared" si="0"/>
        <v/>
      </c>
      <c r="N31" s="141"/>
      <c r="O31" s="135"/>
      <c r="P31" s="13"/>
      <c r="Q31" s="13"/>
      <c r="R31" s="999"/>
      <c r="S31" s="884"/>
      <c r="T31" s="13"/>
      <c r="U31" s="259" t="str">
        <f t="shared" si="2"/>
        <v/>
      </c>
    </row>
    <row r="32" spans="3:29" ht="24.95" customHeight="1">
      <c r="C32" s="436" t="s">
        <v>1771</v>
      </c>
      <c r="D32" s="436">
        <v>40</v>
      </c>
      <c r="E32" s="285"/>
      <c r="G32" s="283"/>
      <c r="H32" s="285"/>
      <c r="I32" s="282"/>
      <c r="J32" s="285" t="str">
        <f t="shared" si="0"/>
        <v/>
      </c>
      <c r="N32" s="141"/>
      <c r="O32" s="135"/>
      <c r="P32" s="13"/>
      <c r="Q32" s="13"/>
      <c r="R32" s="999"/>
      <c r="S32" s="884"/>
      <c r="T32" s="13"/>
      <c r="U32" s="259" t="str">
        <f t="shared" si="2"/>
        <v/>
      </c>
    </row>
    <row r="33" spans="3:21" ht="24.95" customHeight="1">
      <c r="C33" s="436" t="s">
        <v>33</v>
      </c>
      <c r="D33" s="436">
        <v>45</v>
      </c>
      <c r="E33" s="285"/>
      <c r="G33" s="283"/>
      <c r="H33" s="285"/>
      <c r="I33" s="282"/>
      <c r="J33" s="285" t="str">
        <f t="shared" si="0"/>
        <v/>
      </c>
      <c r="N33" s="141"/>
      <c r="O33" s="135"/>
      <c r="P33" s="13"/>
      <c r="Q33" s="13"/>
      <c r="R33" s="999"/>
      <c r="S33" s="884"/>
      <c r="T33" s="13"/>
      <c r="U33" s="259" t="str">
        <f t="shared" si="2"/>
        <v/>
      </c>
    </row>
    <row r="34" spans="3:21" ht="24.95" customHeight="1">
      <c r="C34" s="436" t="s">
        <v>36</v>
      </c>
      <c r="D34" s="436">
        <v>50</v>
      </c>
      <c r="E34" s="285"/>
      <c r="G34" s="283"/>
      <c r="H34" s="285"/>
      <c r="I34" s="282"/>
      <c r="J34" s="285" t="str">
        <f t="shared" si="0"/>
        <v/>
      </c>
      <c r="N34" s="141"/>
      <c r="O34" s="135"/>
      <c r="P34" s="13"/>
      <c r="Q34" s="13"/>
      <c r="R34" s="999"/>
      <c r="S34" s="884"/>
      <c r="T34" s="13"/>
      <c r="U34" s="259" t="str">
        <f t="shared" si="2"/>
        <v/>
      </c>
    </row>
    <row r="35" spans="3:21" ht="24.95" customHeight="1">
      <c r="C35" s="436" t="s">
        <v>48</v>
      </c>
      <c r="D35" s="436">
        <v>55</v>
      </c>
      <c r="E35" s="285"/>
      <c r="G35" s="283"/>
      <c r="H35" s="285"/>
      <c r="I35" s="282"/>
      <c r="J35" s="285" t="str">
        <f t="shared" si="0"/>
        <v/>
      </c>
      <c r="O35" s="13"/>
      <c r="P35" s="13"/>
      <c r="Q35" s="13"/>
      <c r="R35" s="999"/>
      <c r="S35" s="884"/>
      <c r="T35" s="13"/>
      <c r="U35" s="259" t="str">
        <f t="shared" si="2"/>
        <v/>
      </c>
    </row>
    <row r="36" spans="3:21" ht="24.95" customHeight="1">
      <c r="C36" s="436" t="s">
        <v>50</v>
      </c>
      <c r="D36" s="436">
        <v>60</v>
      </c>
      <c r="E36" s="285"/>
      <c r="G36" s="283"/>
      <c r="H36" s="440"/>
      <c r="I36" s="441"/>
      <c r="J36" s="451"/>
      <c r="O36" s="13"/>
      <c r="P36" s="13"/>
      <c r="Q36" s="13"/>
      <c r="R36" s="999"/>
      <c r="S36" s="884"/>
      <c r="T36" s="13"/>
      <c r="U36" s="259" t="str">
        <f t="shared" si="2"/>
        <v/>
      </c>
    </row>
    <row r="37" spans="3:21" ht="24.95" customHeight="1">
      <c r="C37" s="436" t="s">
        <v>51</v>
      </c>
      <c r="D37" s="436">
        <v>65</v>
      </c>
      <c r="E37" s="285"/>
      <c r="G37" s="283"/>
      <c r="H37" s="440"/>
      <c r="I37" s="441"/>
      <c r="J37" s="451"/>
      <c r="R37" s="999"/>
      <c r="S37" s="884"/>
      <c r="T37" s="13"/>
      <c r="U37" s="259" t="str">
        <f t="shared" si="2"/>
        <v/>
      </c>
    </row>
    <row r="38" spans="3:21" ht="24.95" customHeight="1">
      <c r="C38" s="436" t="s">
        <v>52</v>
      </c>
      <c r="D38" s="436">
        <v>70</v>
      </c>
      <c r="E38" s="285"/>
      <c r="G38" s="283"/>
      <c r="H38" s="440"/>
      <c r="I38" s="441"/>
      <c r="J38" s="451"/>
      <c r="R38" s="999"/>
      <c r="S38" s="884"/>
      <c r="T38" s="13"/>
      <c r="U38" s="259" t="str">
        <f t="shared" si="2"/>
        <v/>
      </c>
    </row>
    <row r="39" spans="3:21" ht="24.95" customHeight="1">
      <c r="C39" s="436" t="s">
        <v>53</v>
      </c>
      <c r="D39" s="436">
        <v>75</v>
      </c>
      <c r="E39" s="285"/>
      <c r="G39" s="126"/>
      <c r="H39" s="138"/>
      <c r="I39" s="136"/>
      <c r="J39" s="136"/>
      <c r="R39" s="999"/>
      <c r="S39" s="884"/>
      <c r="T39" s="13"/>
      <c r="U39" s="259" t="str">
        <f t="shared" si="2"/>
        <v/>
      </c>
    </row>
    <row r="40" spans="3:21" ht="24.95" customHeight="1">
      <c r="C40" s="436" t="s">
        <v>54</v>
      </c>
      <c r="D40" s="436">
        <v>80</v>
      </c>
      <c r="E40" s="285"/>
      <c r="G40" s="133"/>
      <c r="H40" s="138"/>
      <c r="I40" s="136"/>
      <c r="J40" s="136"/>
      <c r="R40" s="999"/>
      <c r="S40" s="884"/>
      <c r="T40" s="13"/>
      <c r="U40" s="259" t="str">
        <f t="shared" si="2"/>
        <v/>
      </c>
    </row>
    <row r="41" spans="3:21" ht="24.95" customHeight="1">
      <c r="C41" s="436" t="s">
        <v>55</v>
      </c>
      <c r="D41" s="436">
        <v>85</v>
      </c>
      <c r="E41" s="285"/>
      <c r="G41" s="133"/>
      <c r="H41" s="138"/>
      <c r="I41" s="136"/>
      <c r="J41" s="136"/>
      <c r="R41" s="999"/>
      <c r="S41" s="884"/>
      <c r="T41" s="13"/>
      <c r="U41" s="259" t="str">
        <f t="shared" si="2"/>
        <v/>
      </c>
    </row>
    <row r="42" spans="3:21" ht="24.95" customHeight="1">
      <c r="C42" s="436" t="s">
        <v>56</v>
      </c>
      <c r="D42" s="436">
        <v>90</v>
      </c>
      <c r="E42" s="285"/>
      <c r="G42" s="133"/>
      <c r="H42" s="138"/>
      <c r="I42" s="136"/>
      <c r="J42" s="136"/>
      <c r="R42" s="999"/>
      <c r="S42" s="884"/>
      <c r="T42" s="13"/>
      <c r="U42" s="259" t="str">
        <f t="shared" si="2"/>
        <v/>
      </c>
    </row>
    <row r="43" spans="3:21" ht="24.95" customHeight="1">
      <c r="C43" s="436" t="s">
        <v>57</v>
      </c>
      <c r="D43" s="436">
        <v>100</v>
      </c>
      <c r="E43" s="285"/>
      <c r="G43" s="133"/>
      <c r="H43" s="138"/>
      <c r="I43" s="136"/>
      <c r="J43" s="136"/>
      <c r="R43" s="999"/>
      <c r="S43" s="884"/>
      <c r="T43" s="13"/>
      <c r="U43" s="259" t="str">
        <f t="shared" si="2"/>
        <v/>
      </c>
    </row>
    <row r="44" spans="3:21" ht="24.95" customHeight="1">
      <c r="G44" s="133"/>
      <c r="H44" s="138"/>
      <c r="I44" s="136"/>
      <c r="J44" s="136"/>
      <c r="R44" s="999"/>
      <c r="S44" s="884"/>
      <c r="T44" s="13"/>
    </row>
    <row r="45" spans="3:21" ht="24.95" customHeight="1">
      <c r="G45" s="133"/>
      <c r="H45" s="138"/>
      <c r="I45" s="136"/>
      <c r="J45" s="136"/>
      <c r="R45" s="999"/>
      <c r="S45" s="884"/>
      <c r="T45" s="13"/>
    </row>
    <row r="46" spans="3:21" ht="24.95" customHeight="1">
      <c r="G46" s="133"/>
      <c r="H46" s="138"/>
      <c r="I46" s="136"/>
      <c r="J46" s="136"/>
      <c r="R46" s="999"/>
      <c r="S46" s="884"/>
      <c r="T46" s="13"/>
    </row>
    <row r="47" spans="3:21" ht="24.95" customHeight="1">
      <c r="G47" s="133"/>
      <c r="H47" s="138"/>
      <c r="I47" s="136"/>
      <c r="J47" s="136"/>
      <c r="R47" s="999"/>
      <c r="S47" s="884"/>
      <c r="T47" s="13"/>
    </row>
    <row r="48" spans="3:21" ht="24.95" customHeight="1">
      <c r="R48" s="999"/>
      <c r="S48" s="884"/>
      <c r="T48" s="13"/>
    </row>
    <row r="49" spans="3:20" ht="24.95" customHeight="1">
      <c r="R49" s="999"/>
      <c r="S49" s="884"/>
      <c r="T49" s="13"/>
    </row>
    <row r="53" spans="3:20" ht="24.95" customHeight="1">
      <c r="C53" s="1300" t="s">
        <v>59</v>
      </c>
      <c r="D53" s="1300" t="s">
        <v>288</v>
      </c>
      <c r="E53" s="1300" t="s">
        <v>288</v>
      </c>
    </row>
    <row r="54" spans="3:20" ht="24.95" customHeight="1">
      <c r="C54" s="1301" t="s">
        <v>328</v>
      </c>
      <c r="D54" s="1301" t="s">
        <v>137</v>
      </c>
      <c r="E54" s="1301" t="s">
        <v>19</v>
      </c>
    </row>
    <row r="55" spans="3:20" ht="24.95" customHeight="1">
      <c r="C55" s="1302">
        <v>1</v>
      </c>
      <c r="D55" s="1303" t="s">
        <v>2501</v>
      </c>
      <c r="E55" s="1303" t="s">
        <v>2496</v>
      </c>
      <c r="F55" s="260" t="str">
        <f>IF(D55="","",TEXT(C55,"000")&amp;"."&amp;D55)</f>
        <v>001.គណនេយ្យករ</v>
      </c>
    </row>
    <row r="56" spans="3:20" ht="24.95" customHeight="1">
      <c r="C56" s="1299">
        <f>C55+1</f>
        <v>2</v>
      </c>
      <c r="D56" s="1304" t="s">
        <v>2502</v>
      </c>
      <c r="E56" s="1304" t="s">
        <v>2497</v>
      </c>
      <c r="F56" s="260" t="str">
        <f t="shared" ref="F56:F69" si="3">IF(D56="","",TEXT(C56,"000")&amp;"."&amp;D56)</f>
        <v>002.រដ្ឋបាល</v>
      </c>
    </row>
    <row r="57" spans="3:20" ht="24.95" customHeight="1">
      <c r="C57" s="1299">
        <f t="shared" ref="C57:C84" si="4">C56+1</f>
        <v>3</v>
      </c>
      <c r="D57" s="1304" t="s">
        <v>2503</v>
      </c>
      <c r="E57" s="1304" t="s">
        <v>2498</v>
      </c>
      <c r="F57" s="260" t="str">
        <f t="shared" si="3"/>
        <v>003.អ្នកគ្រប់គ្រង់ទូទៅ</v>
      </c>
    </row>
    <row r="58" spans="3:20" ht="24.95" customHeight="1">
      <c r="C58" s="1299">
        <f t="shared" si="4"/>
        <v>4</v>
      </c>
      <c r="D58" s="1304" t="s">
        <v>2504</v>
      </c>
      <c r="E58" s="1304" t="s">
        <v>2499</v>
      </c>
      <c r="F58" s="260" t="str">
        <f t="shared" si="3"/>
        <v>004.អ្នកគ្រប់គ្រង់ការទិញទូទៅ</v>
      </c>
    </row>
    <row r="59" spans="3:20" ht="24.95" customHeight="1">
      <c r="C59" s="1299">
        <f t="shared" si="4"/>
        <v>5</v>
      </c>
      <c r="D59" s="1304" t="s">
        <v>2505</v>
      </c>
      <c r="E59" s="1304" t="s">
        <v>2500</v>
      </c>
      <c r="F59" s="260" t="str">
        <f t="shared" si="3"/>
        <v>005.អ្នកគ្រប់គ្រងស្តុក</v>
      </c>
    </row>
    <row r="60" spans="3:20" ht="24.95" customHeight="1">
      <c r="C60" s="1299">
        <f t="shared" si="4"/>
        <v>6</v>
      </c>
      <c r="D60" s="1304"/>
      <c r="E60" s="1304"/>
      <c r="F60" s="260" t="str">
        <f t="shared" si="3"/>
        <v/>
      </c>
    </row>
    <row r="61" spans="3:20" ht="24.95" customHeight="1">
      <c r="C61" s="1299">
        <f t="shared" si="4"/>
        <v>7</v>
      </c>
      <c r="D61" s="1304"/>
      <c r="E61" s="1304"/>
      <c r="F61" s="260" t="str">
        <f t="shared" si="3"/>
        <v/>
      </c>
    </row>
    <row r="62" spans="3:20" ht="24.95" customHeight="1">
      <c r="C62" s="1299">
        <f t="shared" si="4"/>
        <v>8</v>
      </c>
      <c r="D62" s="1304"/>
      <c r="E62" s="1304"/>
      <c r="F62" s="260" t="str">
        <f t="shared" si="3"/>
        <v/>
      </c>
    </row>
    <row r="63" spans="3:20" ht="24.95" customHeight="1">
      <c r="C63" s="1299">
        <f t="shared" si="4"/>
        <v>9</v>
      </c>
      <c r="D63" s="1304"/>
      <c r="E63" s="1304"/>
      <c r="F63" s="260" t="str">
        <f t="shared" si="3"/>
        <v/>
      </c>
    </row>
    <row r="64" spans="3:20" ht="24.95" customHeight="1">
      <c r="C64" s="1299">
        <f t="shared" si="4"/>
        <v>10</v>
      </c>
      <c r="D64" s="1304"/>
      <c r="E64" s="1304"/>
      <c r="F64" s="260" t="str">
        <f t="shared" si="3"/>
        <v/>
      </c>
    </row>
    <row r="65" spans="3:6" ht="24.95" customHeight="1">
      <c r="C65" s="1299">
        <f t="shared" si="4"/>
        <v>11</v>
      </c>
      <c r="D65" s="1304"/>
      <c r="E65" s="1304"/>
      <c r="F65" s="260" t="str">
        <f t="shared" si="3"/>
        <v/>
      </c>
    </row>
    <row r="66" spans="3:6" ht="24.95" customHeight="1">
      <c r="C66" s="1299">
        <f t="shared" si="4"/>
        <v>12</v>
      </c>
      <c r="D66" s="1304"/>
      <c r="E66" s="1304"/>
      <c r="F66" s="260" t="str">
        <f t="shared" si="3"/>
        <v/>
      </c>
    </row>
    <row r="67" spans="3:6" ht="24.95" customHeight="1">
      <c r="C67" s="1299">
        <f t="shared" si="4"/>
        <v>13</v>
      </c>
      <c r="D67" s="1304"/>
      <c r="E67" s="1304"/>
      <c r="F67" s="260" t="str">
        <f t="shared" si="3"/>
        <v/>
      </c>
    </row>
    <row r="68" spans="3:6" ht="24.95" customHeight="1">
      <c r="C68" s="1299">
        <f t="shared" si="4"/>
        <v>14</v>
      </c>
      <c r="D68" s="1304"/>
      <c r="E68" s="1304"/>
      <c r="F68" s="260" t="str">
        <f t="shared" si="3"/>
        <v/>
      </c>
    </row>
    <row r="69" spans="3:6" ht="24.95" customHeight="1">
      <c r="C69" s="1299">
        <f t="shared" si="4"/>
        <v>15</v>
      </c>
      <c r="D69" s="1304"/>
      <c r="E69" s="1304"/>
      <c r="F69" s="260" t="str">
        <f t="shared" si="3"/>
        <v/>
      </c>
    </row>
    <row r="70" spans="3:6" ht="24.95" customHeight="1">
      <c r="C70" s="1299">
        <f t="shared" si="4"/>
        <v>16</v>
      </c>
    </row>
    <row r="71" spans="3:6" ht="24.95" customHeight="1">
      <c r="C71" s="1299">
        <f t="shared" si="4"/>
        <v>17</v>
      </c>
    </row>
    <row r="72" spans="3:6" ht="24.95" customHeight="1">
      <c r="C72" s="1299">
        <f t="shared" si="4"/>
        <v>18</v>
      </c>
    </row>
    <row r="73" spans="3:6" ht="24.95" customHeight="1">
      <c r="C73" s="1299">
        <f t="shared" si="4"/>
        <v>19</v>
      </c>
    </row>
    <row r="74" spans="3:6" ht="24.95" customHeight="1">
      <c r="C74" s="1299">
        <f t="shared" si="4"/>
        <v>20</v>
      </c>
    </row>
    <row r="75" spans="3:6" ht="24.95" customHeight="1">
      <c r="C75" s="1299">
        <f t="shared" si="4"/>
        <v>21</v>
      </c>
    </row>
    <row r="76" spans="3:6" ht="24.95" customHeight="1">
      <c r="C76" s="1299">
        <f t="shared" si="4"/>
        <v>22</v>
      </c>
    </row>
    <row r="77" spans="3:6" ht="24.95" customHeight="1">
      <c r="C77" s="1299">
        <f t="shared" si="4"/>
        <v>23</v>
      </c>
    </row>
    <row r="78" spans="3:6" ht="24.95" customHeight="1">
      <c r="C78" s="1299">
        <f t="shared" si="4"/>
        <v>24</v>
      </c>
    </row>
    <row r="79" spans="3:6" ht="24.95" customHeight="1">
      <c r="C79" s="1299">
        <f t="shared" si="4"/>
        <v>25</v>
      </c>
    </row>
    <row r="80" spans="3:6" ht="24.95" customHeight="1">
      <c r="C80" s="1299">
        <f t="shared" si="4"/>
        <v>26</v>
      </c>
    </row>
    <row r="81" spans="3:3" ht="24.95" customHeight="1">
      <c r="C81" s="1299">
        <f t="shared" si="4"/>
        <v>27</v>
      </c>
    </row>
    <row r="82" spans="3:3" ht="24.95" customHeight="1">
      <c r="C82" s="1299">
        <f t="shared" si="4"/>
        <v>28</v>
      </c>
    </row>
    <row r="83" spans="3:3" ht="24.95" customHeight="1">
      <c r="C83" s="1299">
        <f t="shared" si="4"/>
        <v>29</v>
      </c>
    </row>
    <row r="84" spans="3:3" ht="24.95" customHeight="1">
      <c r="C84" s="1299">
        <f t="shared" si="4"/>
        <v>30</v>
      </c>
    </row>
  </sheetData>
  <mergeCells count="17"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  <mergeCell ref="AE12:AU12"/>
    <mergeCell ref="W20:Y20"/>
    <mergeCell ref="W21:Y21"/>
    <mergeCell ref="R21:T21"/>
    <mergeCell ref="N21:P21"/>
  </mergeCells>
  <phoneticPr fontId="37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801" r:id="rId4" name="Button 9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85725</xdr:rowOff>
                  </from>
                  <to>
                    <xdr:col>3</xdr:col>
                    <xdr:colOff>533400</xdr:colOff>
                    <xdr:row>2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F8" sqref="F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450" t="s">
        <v>59</v>
      </c>
      <c r="D6" s="450" t="s">
        <v>998</v>
      </c>
      <c r="E6" s="450" t="s">
        <v>2027</v>
      </c>
      <c r="F6" s="450" t="s">
        <v>2016</v>
      </c>
      <c r="G6" s="450" t="s">
        <v>100</v>
      </c>
      <c r="H6" s="450" t="s">
        <v>2028</v>
      </c>
      <c r="I6" s="450" t="s">
        <v>2029</v>
      </c>
      <c r="J6" s="450" t="s">
        <v>2030</v>
      </c>
      <c r="K6" s="450" t="s">
        <v>264</v>
      </c>
    </row>
    <row r="7" spans="3:12">
      <c r="C7" s="410" t="s">
        <v>10</v>
      </c>
      <c r="D7" s="410" t="s">
        <v>2024</v>
      </c>
      <c r="E7" s="971" t="s">
        <v>136</v>
      </c>
      <c r="F7" s="971" t="s">
        <v>2017</v>
      </c>
      <c r="G7" s="971" t="s">
        <v>103</v>
      </c>
      <c r="H7" s="971" t="s">
        <v>341</v>
      </c>
      <c r="I7" s="971" t="s">
        <v>2025</v>
      </c>
      <c r="J7" s="971" t="s">
        <v>2026</v>
      </c>
      <c r="K7" s="971" t="s">
        <v>2023</v>
      </c>
    </row>
    <row r="8" spans="3:12">
      <c r="C8" s="283">
        <v>1</v>
      </c>
      <c r="D8" s="283" t="s">
        <v>65</v>
      </c>
      <c r="E8" s="286" t="s">
        <v>2039</v>
      </c>
      <c r="F8" s="897" t="s">
        <v>2577</v>
      </c>
      <c r="G8" s="438"/>
      <c r="H8" s="283"/>
      <c r="I8" s="283">
        <v>1</v>
      </c>
      <c r="J8" s="283">
        <v>1</v>
      </c>
      <c r="K8" s="283">
        <v>1</v>
      </c>
      <c r="L8" s="129" t="str">
        <f>IF(AND(C8&lt;&gt;"",F8&lt;&gt;""),TEXT(C8,"000")&amp;"."&amp;F8,"")</f>
        <v>001.Main Warehouse</v>
      </c>
    </row>
    <row r="9" spans="3:12">
      <c r="C9" s="283"/>
      <c r="D9" s="283"/>
      <c r="E9" s="286"/>
      <c r="F9" s="897"/>
      <c r="G9" s="438"/>
      <c r="H9" s="283"/>
      <c r="I9" s="283"/>
      <c r="J9" s="283"/>
      <c r="K9" s="283"/>
      <c r="L9" s="129" t="str">
        <f t="shared" ref="L9:L19" si="0">IF(AND(C9&lt;&gt;"",F9&lt;&gt;""),TEXT(C9,"000")&amp;"."&amp;F9,"")</f>
        <v/>
      </c>
    </row>
    <row r="10" spans="3:12">
      <c r="C10" s="283"/>
      <c r="D10" s="283"/>
      <c r="E10" s="286"/>
      <c r="F10" s="897"/>
      <c r="G10" s="438"/>
      <c r="H10" s="283"/>
      <c r="I10" s="283"/>
      <c r="J10" s="283"/>
      <c r="K10" s="283"/>
      <c r="L10" s="129" t="str">
        <f t="shared" si="0"/>
        <v/>
      </c>
    </row>
    <row r="11" spans="3:12">
      <c r="C11" s="283"/>
      <c r="D11" s="283"/>
      <c r="E11" s="286"/>
      <c r="F11" s="1406"/>
      <c r="G11" s="438"/>
      <c r="H11" s="283"/>
      <c r="I11" s="283"/>
      <c r="J11" s="283"/>
      <c r="K11" s="283"/>
      <c r="L11" s="129" t="str">
        <f t="shared" si="0"/>
        <v/>
      </c>
    </row>
    <row r="12" spans="3:12">
      <c r="C12" s="283"/>
      <c r="D12" s="283"/>
      <c r="E12" s="286"/>
      <c r="F12" s="1406"/>
      <c r="G12" s="438"/>
      <c r="H12" s="283"/>
      <c r="I12" s="283"/>
      <c r="J12" s="283"/>
      <c r="K12" s="283"/>
      <c r="L12" s="129" t="str">
        <f t="shared" si="0"/>
        <v/>
      </c>
    </row>
    <row r="13" spans="3:12">
      <c r="C13" s="283"/>
      <c r="D13" s="283"/>
      <c r="E13" s="286"/>
      <c r="F13" s="1406"/>
      <c r="G13" s="438"/>
      <c r="H13" s="283"/>
      <c r="I13" s="283"/>
      <c r="J13" s="283"/>
      <c r="K13" s="283"/>
      <c r="L13" s="129" t="str">
        <f t="shared" si="0"/>
        <v/>
      </c>
    </row>
    <row r="14" spans="3:12">
      <c r="C14" s="283"/>
      <c r="D14" s="283"/>
      <c r="E14" s="286"/>
      <c r="F14" s="1406"/>
      <c r="G14" s="438"/>
      <c r="H14" s="283"/>
      <c r="I14" s="283"/>
      <c r="J14" s="283"/>
      <c r="K14" s="283"/>
      <c r="L14" s="129" t="str">
        <f t="shared" si="0"/>
        <v/>
      </c>
    </row>
    <row r="15" spans="3:12">
      <c r="C15" s="283"/>
      <c r="D15" s="283"/>
      <c r="E15" s="286"/>
      <c r="F15" s="1406"/>
      <c r="G15" s="438"/>
      <c r="H15" s="283"/>
      <c r="I15" s="283"/>
      <c r="J15" s="283"/>
      <c r="K15" s="283"/>
      <c r="L15" s="129" t="str">
        <f t="shared" si="0"/>
        <v/>
      </c>
    </row>
    <row r="16" spans="3:12">
      <c r="C16" s="283"/>
      <c r="D16" s="283"/>
      <c r="E16" s="286"/>
      <c r="F16" s="1406"/>
      <c r="G16" s="438"/>
      <c r="H16" s="283"/>
      <c r="I16" s="283"/>
      <c r="J16" s="283"/>
      <c r="K16" s="283"/>
      <c r="L16" s="129" t="str">
        <f t="shared" si="0"/>
        <v/>
      </c>
    </row>
    <row r="17" spans="3:12">
      <c r="C17" s="283"/>
      <c r="D17" s="283"/>
      <c r="E17" s="286"/>
      <c r="F17" s="1406"/>
      <c r="G17" s="438"/>
      <c r="H17" s="283"/>
      <c r="I17" s="283"/>
      <c r="J17" s="283"/>
      <c r="K17" s="283"/>
      <c r="L17" s="129" t="str">
        <f t="shared" si="0"/>
        <v/>
      </c>
    </row>
    <row r="18" spans="3:12">
      <c r="C18" s="283"/>
      <c r="D18" s="283"/>
      <c r="E18" s="286"/>
      <c r="F18" s="1406"/>
      <c r="G18" s="438"/>
      <c r="H18" s="283"/>
      <c r="I18" s="283"/>
      <c r="J18" s="283"/>
      <c r="K18" s="283"/>
      <c r="L18" s="129" t="str">
        <f t="shared" si="0"/>
        <v/>
      </c>
    </row>
    <row r="19" spans="3:12">
      <c r="C19" s="283"/>
      <c r="D19" s="283"/>
      <c r="E19" s="286"/>
      <c r="F19" s="1406"/>
      <c r="G19" s="438"/>
      <c r="H19" s="283"/>
      <c r="I19" s="283"/>
      <c r="J19" s="283"/>
      <c r="K19" s="283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9121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3</xdr:col>
                    <xdr:colOff>542925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workbookViewId="0">
      <pane ySplit="5" topLeftCell="A8" activePane="bottomLeft" state="frozen"/>
      <selection activeCell="A3" sqref="A3"/>
      <selection pane="bottomLeft" activeCell="D9" sqref="D9"/>
    </sheetView>
  </sheetViews>
  <sheetFormatPr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421" bestFit="1" customWidth="1"/>
    <col min="6" max="6" width="21" style="969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992"/>
      <c r="D4" s="992"/>
      <c r="E4" s="973"/>
      <c r="F4" s="973"/>
    </row>
    <row r="5" spans="3:15" ht="3.75" customHeight="1"/>
    <row r="6" spans="3:15">
      <c r="C6" s="450" t="s">
        <v>59</v>
      </c>
      <c r="D6" s="450" t="s">
        <v>330</v>
      </c>
      <c r="E6" s="481" t="s">
        <v>2016</v>
      </c>
      <c r="F6" s="481" t="s">
        <v>1701</v>
      </c>
      <c r="G6" s="450" t="s">
        <v>2031</v>
      </c>
      <c r="H6" s="450" t="s">
        <v>2032</v>
      </c>
      <c r="I6" s="450" t="s">
        <v>2036</v>
      </c>
      <c r="J6" s="450" t="s">
        <v>2035</v>
      </c>
      <c r="K6" s="450" t="s">
        <v>2037</v>
      </c>
      <c r="L6" s="450" t="s">
        <v>2033</v>
      </c>
      <c r="M6" s="450" t="s">
        <v>2034</v>
      </c>
      <c r="N6" s="450" t="s">
        <v>264</v>
      </c>
    </row>
    <row r="7" spans="3:15" ht="20.25" customHeight="1">
      <c r="C7" s="993" t="s">
        <v>10</v>
      </c>
      <c r="D7" s="993" t="s">
        <v>2013</v>
      </c>
      <c r="E7" s="972" t="s">
        <v>2017</v>
      </c>
      <c r="F7" s="972" t="s">
        <v>72</v>
      </c>
      <c r="G7" s="993" t="s">
        <v>2018</v>
      </c>
      <c r="H7" s="993" t="s">
        <v>2019</v>
      </c>
      <c r="I7" s="993" t="s">
        <v>2020</v>
      </c>
      <c r="J7" s="993" t="s">
        <v>2021</v>
      </c>
      <c r="K7" s="993" t="s">
        <v>2022</v>
      </c>
      <c r="L7" s="993" t="s">
        <v>690</v>
      </c>
      <c r="M7" s="993" t="s">
        <v>2038</v>
      </c>
      <c r="N7" s="971" t="s">
        <v>2023</v>
      </c>
    </row>
    <row r="8" spans="3:15">
      <c r="C8" s="283">
        <v>1</v>
      </c>
      <c r="D8" s="283">
        <v>1</v>
      </c>
      <c r="E8" s="1403" t="s">
        <v>2577</v>
      </c>
      <c r="F8" s="444" t="s">
        <v>2040</v>
      </c>
      <c r="G8" s="283"/>
      <c r="H8" s="460"/>
      <c r="I8" s="460"/>
      <c r="J8" s="460"/>
      <c r="K8" s="460"/>
      <c r="L8" s="460"/>
      <c r="M8" s="460"/>
      <c r="N8" s="283">
        <v>1</v>
      </c>
      <c r="O8" s="129" t="str">
        <f>IF(AND(C8&lt;&gt;"",F8&lt;&gt;""),TEXT(C8,"000")&amp;"."&amp;F8,"")</f>
        <v>001.គោកស្នួល</v>
      </c>
    </row>
    <row r="9" spans="3:15">
      <c r="C9" s="283">
        <v>2</v>
      </c>
      <c r="D9" s="283">
        <v>2</v>
      </c>
      <c r="E9" s="1403" t="s">
        <v>2577</v>
      </c>
      <c r="F9" s="444" t="s">
        <v>2576</v>
      </c>
      <c r="G9" s="283"/>
      <c r="H9" s="460"/>
      <c r="I9" s="460"/>
      <c r="J9" s="460"/>
      <c r="K9" s="460"/>
      <c r="L9" s="460"/>
      <c r="M9" s="460"/>
      <c r="N9" s="283">
        <v>1</v>
      </c>
      <c r="O9" s="129" t="str">
        <f t="shared" ref="O9:O22" si="0">IF(AND(C9&lt;&gt;"",F9&lt;&gt;""),TEXT(C9,"000")&amp;"."&amp;F9,"")</f>
        <v>002.ក្រុងសៀមរាប</v>
      </c>
    </row>
    <row r="10" spans="3:15">
      <c r="C10" s="283"/>
      <c r="D10" s="283"/>
      <c r="E10" s="1404"/>
      <c r="F10" s="444"/>
      <c r="G10" s="283"/>
      <c r="H10" s="460"/>
      <c r="I10" s="460"/>
      <c r="J10" s="460"/>
      <c r="K10" s="460"/>
      <c r="L10" s="460"/>
      <c r="M10" s="460"/>
      <c r="N10" s="283"/>
      <c r="O10" s="129" t="str">
        <f t="shared" si="0"/>
        <v/>
      </c>
    </row>
    <row r="11" spans="3:15">
      <c r="C11" s="283"/>
      <c r="D11" s="283"/>
      <c r="E11" s="1405"/>
      <c r="F11" s="444"/>
      <c r="G11" s="283"/>
      <c r="H11" s="460"/>
      <c r="I11" s="460"/>
      <c r="J11" s="460"/>
      <c r="K11" s="460"/>
      <c r="L11" s="460"/>
      <c r="M11" s="460"/>
      <c r="N11" s="283"/>
      <c r="O11" s="129" t="str">
        <f t="shared" si="0"/>
        <v/>
      </c>
    </row>
    <row r="12" spans="3:15">
      <c r="C12" s="283"/>
      <c r="D12" s="283"/>
      <c r="E12" s="1405"/>
      <c r="F12" s="444"/>
      <c r="G12" s="283"/>
      <c r="H12" s="460"/>
      <c r="I12" s="460"/>
      <c r="J12" s="460"/>
      <c r="K12" s="460"/>
      <c r="L12" s="460"/>
      <c r="M12" s="460"/>
      <c r="N12" s="283"/>
      <c r="O12" s="129" t="str">
        <f t="shared" si="0"/>
        <v/>
      </c>
    </row>
    <row r="13" spans="3:15">
      <c r="C13" s="283"/>
      <c r="D13" s="283"/>
      <c r="E13" s="1405"/>
      <c r="F13" s="444"/>
      <c r="G13" s="283"/>
      <c r="H13" s="460"/>
      <c r="I13" s="460"/>
      <c r="J13" s="460"/>
      <c r="K13" s="460"/>
      <c r="L13" s="460"/>
      <c r="M13" s="460"/>
      <c r="N13" s="283"/>
      <c r="O13" s="129" t="str">
        <f t="shared" si="0"/>
        <v/>
      </c>
    </row>
    <row r="14" spans="3:15">
      <c r="C14" s="283"/>
      <c r="D14" s="283"/>
      <c r="E14" s="1405"/>
      <c r="F14" s="444"/>
      <c r="G14" s="283"/>
      <c r="H14" s="460"/>
      <c r="I14" s="460"/>
      <c r="J14" s="460"/>
      <c r="K14" s="460"/>
      <c r="L14" s="460"/>
      <c r="M14" s="460"/>
      <c r="N14" s="283"/>
      <c r="O14" s="129" t="str">
        <f t="shared" si="0"/>
        <v/>
      </c>
    </row>
    <row r="15" spans="3:15">
      <c r="C15" s="283"/>
      <c r="D15" s="283"/>
      <c r="E15" s="1405"/>
      <c r="F15" s="970"/>
      <c r="G15" s="283"/>
      <c r="H15" s="460"/>
      <c r="I15" s="460"/>
      <c r="J15" s="460"/>
      <c r="K15" s="460"/>
      <c r="L15" s="460"/>
      <c r="M15" s="460"/>
      <c r="N15" s="283"/>
      <c r="O15" s="129" t="str">
        <f t="shared" si="0"/>
        <v/>
      </c>
    </row>
    <row r="16" spans="3:15">
      <c r="C16" s="283"/>
      <c r="D16" s="283"/>
      <c r="E16" s="1405"/>
      <c r="F16" s="970"/>
      <c r="G16" s="283"/>
      <c r="H16" s="460"/>
      <c r="I16" s="460"/>
      <c r="J16" s="460"/>
      <c r="K16" s="460"/>
      <c r="L16" s="460"/>
      <c r="M16" s="460"/>
      <c r="N16" s="283"/>
      <c r="O16" s="129" t="str">
        <f t="shared" si="0"/>
        <v/>
      </c>
    </row>
    <row r="17" spans="3:15">
      <c r="C17" s="283"/>
      <c r="D17" s="283"/>
      <c r="E17" s="1405"/>
      <c r="F17" s="970"/>
      <c r="G17" s="283"/>
      <c r="H17" s="460"/>
      <c r="I17" s="460"/>
      <c r="J17" s="460"/>
      <c r="K17" s="460"/>
      <c r="L17" s="460"/>
      <c r="M17" s="460"/>
      <c r="N17" s="283"/>
      <c r="O17" s="129" t="str">
        <f t="shared" si="0"/>
        <v/>
      </c>
    </row>
    <row r="18" spans="3:15">
      <c r="C18" s="283"/>
      <c r="D18" s="283"/>
      <c r="E18" s="1405"/>
      <c r="F18" s="970"/>
      <c r="G18" s="283"/>
      <c r="H18" s="460"/>
      <c r="I18" s="460"/>
      <c r="J18" s="460"/>
      <c r="K18" s="460"/>
      <c r="L18" s="460"/>
      <c r="M18" s="460"/>
      <c r="N18" s="283"/>
      <c r="O18" s="129" t="str">
        <f t="shared" si="0"/>
        <v/>
      </c>
    </row>
    <row r="19" spans="3:15">
      <c r="C19" s="283"/>
      <c r="D19" s="283"/>
      <c r="E19" s="1405"/>
      <c r="F19" s="970"/>
      <c r="G19" s="283"/>
      <c r="H19" s="460"/>
      <c r="I19" s="460"/>
      <c r="J19" s="460"/>
      <c r="K19" s="460"/>
      <c r="L19" s="460"/>
      <c r="M19" s="460"/>
      <c r="N19" s="283"/>
      <c r="O19" s="129" t="str">
        <f t="shared" si="0"/>
        <v/>
      </c>
    </row>
    <row r="20" spans="3:15">
      <c r="C20" s="283"/>
      <c r="D20" s="283"/>
      <c r="E20" s="1405"/>
      <c r="F20" s="970"/>
      <c r="G20" s="283"/>
      <c r="H20" s="460"/>
      <c r="I20" s="460"/>
      <c r="J20" s="460"/>
      <c r="K20" s="460"/>
      <c r="L20" s="460"/>
      <c r="M20" s="460"/>
      <c r="N20" s="283"/>
      <c r="O20" s="129" t="str">
        <f t="shared" si="0"/>
        <v/>
      </c>
    </row>
    <row r="21" spans="3:15">
      <c r="C21" s="283"/>
      <c r="D21" s="283"/>
      <c r="E21" s="1405"/>
      <c r="F21" s="970"/>
      <c r="G21" s="283"/>
      <c r="H21" s="460"/>
      <c r="I21" s="460"/>
      <c r="J21" s="460"/>
      <c r="K21" s="460"/>
      <c r="L21" s="460"/>
      <c r="M21" s="460"/>
      <c r="N21" s="283"/>
      <c r="O21" s="129" t="str">
        <f t="shared" si="0"/>
        <v/>
      </c>
    </row>
    <row r="22" spans="3:15">
      <c r="C22" s="283"/>
      <c r="D22" s="283"/>
      <c r="E22" s="1405"/>
      <c r="F22" s="970"/>
      <c r="G22" s="283"/>
      <c r="H22" s="460"/>
      <c r="I22" s="460"/>
      <c r="J22" s="460"/>
      <c r="K22" s="460"/>
      <c r="L22" s="460"/>
      <c r="M22" s="460"/>
      <c r="N22" s="283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0145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2</xdr:row>
                    <xdr:rowOff>409575</xdr:rowOff>
                  </from>
                  <to>
                    <xdr:col>3</xdr:col>
                    <xdr:colOff>561975</xdr:colOff>
                    <xdr:row>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N16" sqref="N16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1791" t="s">
        <v>914</v>
      </c>
      <c r="D3" s="1791"/>
      <c r="E3" s="1791"/>
      <c r="F3" s="1791"/>
    </row>
    <row r="4" spans="3:6" ht="9" customHeight="1"/>
    <row r="5" spans="3:6" ht="23.25">
      <c r="C5" s="450" t="s">
        <v>59</v>
      </c>
      <c r="D5" s="450" t="s">
        <v>914</v>
      </c>
      <c r="E5" s="448" t="s">
        <v>915</v>
      </c>
      <c r="F5" s="448"/>
    </row>
    <row r="6" spans="3:6">
      <c r="C6" s="296" t="s">
        <v>10</v>
      </c>
      <c r="D6" s="296" t="s">
        <v>917</v>
      </c>
      <c r="E6" s="449" t="s">
        <v>913</v>
      </c>
      <c r="F6" s="449" t="s">
        <v>916</v>
      </c>
    </row>
    <row r="7" spans="3:6" ht="23.1" customHeight="1">
      <c r="C7" s="283">
        <v>1</v>
      </c>
      <c r="D7" s="286" t="s">
        <v>890</v>
      </c>
      <c r="E7" s="283" t="s">
        <v>891</v>
      </c>
      <c r="F7" s="286" t="str">
        <f>IF(AND(C7&lt;&gt;"",D7&lt;&gt;""),TEXT(C7,"00")&amp;"."&amp;D7,"")</f>
        <v>01.USD - US Dollar</v>
      </c>
    </row>
    <row r="8" spans="3:6" ht="23.1" customHeight="1">
      <c r="C8" s="283">
        <v>2</v>
      </c>
      <c r="D8" s="286" t="s">
        <v>892</v>
      </c>
      <c r="E8" s="438" t="s">
        <v>893</v>
      </c>
      <c r="F8" s="286" t="str">
        <f t="shared" ref="F8:F19" si="0">IF(AND(C8&lt;&gt;"",D8&lt;&gt;""),TEXT(C8,"00")&amp;"."&amp;D8,"")</f>
        <v>02.KHR - Cambodia Riel</v>
      </c>
    </row>
    <row r="9" spans="3:6" ht="23.1" customHeight="1">
      <c r="C9" s="283">
        <v>3</v>
      </c>
      <c r="D9" s="286" t="s">
        <v>894</v>
      </c>
      <c r="E9" s="283" t="s">
        <v>895</v>
      </c>
      <c r="F9" s="286" t="str">
        <f t="shared" si="0"/>
        <v>03.THB - Thai Baht</v>
      </c>
    </row>
    <row r="10" spans="3:6" ht="23.1" customHeight="1">
      <c r="C10" s="283">
        <v>4</v>
      </c>
      <c r="D10" s="286" t="s">
        <v>896</v>
      </c>
      <c r="E10" s="283" t="s">
        <v>897</v>
      </c>
      <c r="F10" s="286" t="str">
        <f t="shared" si="0"/>
        <v>04.VND - Viet Nam Dong</v>
      </c>
    </row>
    <row r="11" spans="3:6" ht="23.1" customHeight="1">
      <c r="C11" s="283">
        <v>5</v>
      </c>
      <c r="D11" s="286" t="s">
        <v>898</v>
      </c>
      <c r="E11" s="283" t="s">
        <v>899</v>
      </c>
      <c r="F11" s="286" t="str">
        <f t="shared" si="0"/>
        <v>05.MYR - Malaysia Ringgit</v>
      </c>
    </row>
    <row r="12" spans="3:6" ht="23.1" customHeight="1">
      <c r="C12" s="283">
        <v>6</v>
      </c>
      <c r="D12" s="286" t="s">
        <v>900</v>
      </c>
      <c r="E12" s="283" t="s">
        <v>901</v>
      </c>
      <c r="F12" s="286" t="str">
        <f t="shared" si="0"/>
        <v>06.LAK - Laos Kip</v>
      </c>
    </row>
    <row r="13" spans="3:6" ht="23.1" customHeight="1">
      <c r="C13" s="283">
        <v>7</v>
      </c>
      <c r="D13" s="286" t="s">
        <v>902</v>
      </c>
      <c r="E13" s="283" t="s">
        <v>891</v>
      </c>
      <c r="F13" s="286" t="str">
        <f t="shared" si="0"/>
        <v>07.SGD - Singapore Dollar</v>
      </c>
    </row>
    <row r="14" spans="3:6" ht="23.1" customHeight="1">
      <c r="C14" s="283">
        <v>8</v>
      </c>
      <c r="D14" s="286" t="s">
        <v>903</v>
      </c>
      <c r="E14" s="283" t="s">
        <v>904</v>
      </c>
      <c r="F14" s="286" t="str">
        <f t="shared" si="0"/>
        <v>08.PHP - Philippines Peso</v>
      </c>
    </row>
    <row r="15" spans="3:6" ht="23.1" customHeight="1">
      <c r="C15" s="283">
        <v>9</v>
      </c>
      <c r="D15" s="286" t="s">
        <v>905</v>
      </c>
      <c r="E15" s="283" t="s">
        <v>906</v>
      </c>
      <c r="F15" s="286" t="str">
        <f t="shared" si="0"/>
        <v>09.IDR - Indonesia Rupiah</v>
      </c>
    </row>
    <row r="16" spans="3:6" ht="23.1" customHeight="1">
      <c r="C16" s="283">
        <v>10</v>
      </c>
      <c r="D16" s="286" t="s">
        <v>907</v>
      </c>
      <c r="E16" s="283" t="s">
        <v>891</v>
      </c>
      <c r="F16" s="286" t="str">
        <f t="shared" si="0"/>
        <v>10.BND - Brunei Darussalam Dollar</v>
      </c>
    </row>
    <row r="17" spans="3:6" ht="23.1" customHeight="1">
      <c r="C17" s="283">
        <v>11</v>
      </c>
      <c r="D17" s="286" t="s">
        <v>908</v>
      </c>
      <c r="E17" s="283" t="s">
        <v>909</v>
      </c>
      <c r="F17" s="286" t="str">
        <f t="shared" si="0"/>
        <v>11.CNY - China Yuan Renminbi</v>
      </c>
    </row>
    <row r="18" spans="3:6" ht="23.1" customHeight="1">
      <c r="C18" s="283">
        <v>12</v>
      </c>
      <c r="D18" s="286" t="s">
        <v>910</v>
      </c>
      <c r="E18" s="283" t="s">
        <v>909</v>
      </c>
      <c r="F18" s="286" t="str">
        <f t="shared" si="0"/>
        <v>12.JPY - Japan Yen</v>
      </c>
    </row>
    <row r="19" spans="3:6" ht="23.1" customHeight="1">
      <c r="C19" s="283">
        <v>13</v>
      </c>
      <c r="D19" s="286" t="s">
        <v>911</v>
      </c>
      <c r="E19" s="283" t="s">
        <v>912</v>
      </c>
      <c r="F19" s="286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6049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1</xdr:row>
                    <xdr:rowOff>161925</xdr:rowOff>
                  </from>
                  <to>
                    <xdr:col>3</xdr:col>
                    <xdr:colOff>485775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I100"/>
  <sheetViews>
    <sheetView zoomScale="90" zoomScaleNormal="90" workbookViewId="0">
      <pane ySplit="7" topLeftCell="A8" activePane="bottomLeft" state="frozen"/>
      <selection activeCell="B1" sqref="B1"/>
      <selection pane="bottomLeft" activeCell="M14" sqref="M14"/>
    </sheetView>
  </sheetViews>
  <sheetFormatPr defaultRowHeight="25.5"/>
  <cols>
    <col min="1" max="1" width="6.28515625" style="133" customWidth="1"/>
    <col min="2" max="2" width="3.85546875" style="133" customWidth="1"/>
    <col min="3" max="3" width="9.140625" style="133" customWidth="1"/>
    <col min="4" max="4" width="16" style="133" customWidth="1"/>
    <col min="5" max="5" width="31.85546875" style="133" customWidth="1"/>
    <col min="6" max="6" width="22.42578125" style="380" customWidth="1"/>
    <col min="7" max="7" width="9.28515625" style="126" bestFit="1" customWidth="1"/>
    <col min="8" max="8" width="29.85546875" style="269" customWidth="1"/>
    <col min="9" max="9" width="17.7109375" style="129" customWidth="1"/>
    <col min="10" max="16384" width="9.140625" style="133"/>
  </cols>
  <sheetData>
    <row r="1" spans="3:9" ht="12.75" hidden="1" customHeight="1">
      <c r="F1" s="133"/>
    </row>
    <row r="2" spans="3:9" ht="6" customHeight="1">
      <c r="F2" s="133"/>
    </row>
    <row r="3" spans="3:9" ht="6" customHeight="1">
      <c r="F3" s="133"/>
    </row>
    <row r="4" spans="3:9" ht="36.75">
      <c r="C4" s="1791" t="s">
        <v>1700</v>
      </c>
      <c r="D4" s="1791"/>
      <c r="E4" s="1791"/>
      <c r="F4" s="1791"/>
      <c r="G4" s="1791"/>
      <c r="H4" s="1791"/>
    </row>
    <row r="5" spans="3:9" ht="6" customHeight="1">
      <c r="F5" s="133"/>
    </row>
    <row r="6" spans="3:9">
      <c r="C6" s="1545" t="s">
        <v>59</v>
      </c>
      <c r="D6" s="1545" t="s">
        <v>1890</v>
      </c>
      <c r="E6" s="1545" t="s">
        <v>1759</v>
      </c>
      <c r="F6" s="1545" t="s">
        <v>1699</v>
      </c>
      <c r="G6" s="1559" t="s">
        <v>264</v>
      </c>
      <c r="H6" s="1560"/>
      <c r="I6" s="434"/>
    </row>
    <row r="7" spans="3:9" ht="19.5" customHeight="1">
      <c r="C7" s="1562" t="s">
        <v>11</v>
      </c>
      <c r="D7" s="1562" t="s">
        <v>822</v>
      </c>
      <c r="E7" s="1562" t="s">
        <v>13</v>
      </c>
      <c r="F7" s="1562" t="s">
        <v>18</v>
      </c>
      <c r="G7" s="1563" t="s">
        <v>531</v>
      </c>
      <c r="H7" s="1561"/>
      <c r="I7" s="434"/>
    </row>
    <row r="8" spans="3:9">
      <c r="C8" s="204">
        <v>1</v>
      </c>
      <c r="D8" s="204"/>
      <c r="E8" s="404" t="s">
        <v>21</v>
      </c>
      <c r="F8" s="1564" t="s">
        <v>21</v>
      </c>
      <c r="G8" s="135" t="s">
        <v>62</v>
      </c>
      <c r="H8" s="260" t="str">
        <f>IF(AND(C8&lt;&gt;"",F8&lt;&gt;""),TEXT(C8,"000")&amp;"."&amp;F8,"")</f>
        <v>001.Unit</v>
      </c>
    </row>
    <row r="9" spans="3:9">
      <c r="C9" s="204">
        <v>2</v>
      </c>
      <c r="D9" s="204"/>
      <c r="E9" s="404" t="s">
        <v>2325</v>
      </c>
      <c r="F9" s="1564" t="s">
        <v>2325</v>
      </c>
      <c r="G9" s="135" t="s">
        <v>62</v>
      </c>
      <c r="H9" s="260" t="str">
        <f t="shared" ref="H9:H72" si="0">IF(AND(C9&lt;&gt;"",F9&lt;&gt;""),TEXT(C9,"000")&amp;"."&amp;F9,"")</f>
        <v>002.PCS</v>
      </c>
    </row>
    <row r="10" spans="3:9">
      <c r="C10" s="204">
        <v>3</v>
      </c>
      <c r="D10" s="204"/>
      <c r="E10" s="404" t="s">
        <v>2326</v>
      </c>
      <c r="F10" s="1564" t="s">
        <v>2326</v>
      </c>
      <c r="G10" s="135" t="s">
        <v>62</v>
      </c>
      <c r="H10" s="260" t="str">
        <f t="shared" si="0"/>
        <v>003.Kg</v>
      </c>
    </row>
    <row r="11" spans="3:9">
      <c r="C11" s="204">
        <v>4</v>
      </c>
      <c r="D11" s="204"/>
      <c r="E11" s="404" t="s">
        <v>1889</v>
      </c>
      <c r="F11" s="1564" t="s">
        <v>1889</v>
      </c>
      <c r="G11" s="135" t="s">
        <v>62</v>
      </c>
      <c r="H11" s="260" t="str">
        <f t="shared" si="0"/>
        <v>004.Kib</v>
      </c>
    </row>
    <row r="12" spans="3:9">
      <c r="C12" s="204">
        <v>5</v>
      </c>
      <c r="D12" s="204"/>
      <c r="E12" s="404" t="s">
        <v>2327</v>
      </c>
      <c r="F12" s="1564" t="s">
        <v>2327</v>
      </c>
      <c r="G12" s="135" t="s">
        <v>62</v>
      </c>
      <c r="H12" s="260" t="str">
        <f t="shared" si="0"/>
        <v>005.Lot</v>
      </c>
    </row>
    <row r="13" spans="3:9">
      <c r="C13" s="204">
        <v>6</v>
      </c>
      <c r="D13" s="204"/>
      <c r="E13" s="404" t="s">
        <v>2328</v>
      </c>
      <c r="F13" s="1564" t="s">
        <v>2328</v>
      </c>
      <c r="G13" s="135" t="s">
        <v>62</v>
      </c>
      <c r="H13" s="260" t="str">
        <f t="shared" si="0"/>
        <v>006.bottle</v>
      </c>
    </row>
    <row r="14" spans="3:9">
      <c r="C14" s="204">
        <v>7</v>
      </c>
      <c r="D14" s="204"/>
      <c r="E14" s="404" t="s">
        <v>2329</v>
      </c>
      <c r="F14" s="1564" t="s">
        <v>2329</v>
      </c>
      <c r="G14" s="135" t="s">
        <v>62</v>
      </c>
      <c r="H14" s="260" t="str">
        <f t="shared" si="0"/>
        <v>007.Package</v>
      </c>
    </row>
    <row r="15" spans="3:9">
      <c r="C15" s="204">
        <v>8</v>
      </c>
      <c r="D15" s="204"/>
      <c r="E15" s="404" t="s">
        <v>2330</v>
      </c>
      <c r="F15" s="1564" t="s">
        <v>2330</v>
      </c>
      <c r="G15" s="135" t="s">
        <v>62</v>
      </c>
      <c r="H15" s="260" t="str">
        <f t="shared" si="0"/>
        <v>008.Ctn</v>
      </c>
    </row>
    <row r="16" spans="3:9">
      <c r="C16" s="204">
        <v>9</v>
      </c>
      <c r="D16" s="204"/>
      <c r="E16" s="404" t="s">
        <v>2331</v>
      </c>
      <c r="F16" s="1564" t="s">
        <v>2331</v>
      </c>
      <c r="G16" s="135" t="s">
        <v>62</v>
      </c>
      <c r="H16" s="260" t="str">
        <f t="shared" si="0"/>
        <v>009.Box</v>
      </c>
    </row>
    <row r="17" spans="3:8">
      <c r="C17" s="204">
        <v>10</v>
      </c>
      <c r="D17" s="204"/>
      <c r="E17" s="404" t="s">
        <v>2332</v>
      </c>
      <c r="F17" s="1564" t="s">
        <v>2332</v>
      </c>
      <c r="G17" s="135" t="s">
        <v>62</v>
      </c>
      <c r="H17" s="260" t="str">
        <f t="shared" si="0"/>
        <v>010.m</v>
      </c>
    </row>
    <row r="18" spans="3:8">
      <c r="C18" s="204">
        <v>11</v>
      </c>
      <c r="D18" s="204"/>
      <c r="E18" s="404" t="s">
        <v>2333</v>
      </c>
      <c r="F18" s="1564" t="s">
        <v>2333</v>
      </c>
      <c r="G18" s="135" t="s">
        <v>62</v>
      </c>
      <c r="H18" s="260" t="str">
        <f t="shared" si="0"/>
        <v>011.cm</v>
      </c>
    </row>
    <row r="19" spans="3:8">
      <c r="C19" s="204">
        <v>12</v>
      </c>
      <c r="D19" s="204"/>
      <c r="E19" s="404" t="s">
        <v>2334</v>
      </c>
      <c r="F19" s="1564" t="s">
        <v>2334</v>
      </c>
      <c r="G19" s="135" t="s">
        <v>62</v>
      </c>
      <c r="H19" s="260" t="str">
        <f t="shared" si="0"/>
        <v>012.mm</v>
      </c>
    </row>
    <row r="20" spans="3:8">
      <c r="C20" s="204">
        <v>13</v>
      </c>
      <c r="D20" s="204"/>
      <c r="E20" s="404" t="s">
        <v>2335</v>
      </c>
      <c r="F20" s="1564" t="s">
        <v>2335</v>
      </c>
      <c r="G20" s="135" t="s">
        <v>62</v>
      </c>
      <c r="H20" s="260" t="str">
        <f t="shared" si="0"/>
        <v>013.Case/12boxs</v>
      </c>
    </row>
    <row r="21" spans="3:8">
      <c r="C21" s="204">
        <v>14</v>
      </c>
      <c r="D21" s="204"/>
      <c r="E21" s="404" t="s">
        <v>2336</v>
      </c>
      <c r="F21" s="1564" t="s">
        <v>2336</v>
      </c>
      <c r="G21" s="135" t="s">
        <v>62</v>
      </c>
      <c r="H21" s="260" t="str">
        <f t="shared" si="0"/>
        <v>014.Case/6boxs</v>
      </c>
    </row>
    <row r="22" spans="3:8">
      <c r="C22" s="204">
        <v>15</v>
      </c>
      <c r="D22" s="204"/>
      <c r="E22" s="404" t="s">
        <v>2337</v>
      </c>
      <c r="F22" s="1564" t="s">
        <v>2337</v>
      </c>
      <c r="G22" s="135" t="s">
        <v>62</v>
      </c>
      <c r="H22" s="260" t="str">
        <f t="shared" si="0"/>
        <v>015.Case/6Lots</v>
      </c>
    </row>
    <row r="23" spans="3:8">
      <c r="C23" s="204">
        <v>16</v>
      </c>
      <c r="D23" s="204"/>
      <c r="E23" s="404" t="s">
        <v>2338</v>
      </c>
      <c r="F23" s="1564" t="s">
        <v>2338</v>
      </c>
      <c r="G23" s="135" t="s">
        <v>62</v>
      </c>
      <c r="H23" s="260" t="str">
        <f t="shared" si="0"/>
        <v>016.Case/12lots</v>
      </c>
    </row>
    <row r="24" spans="3:8">
      <c r="C24" s="204">
        <v>17</v>
      </c>
      <c r="D24" s="204"/>
      <c r="E24" s="404" t="s">
        <v>2339</v>
      </c>
      <c r="F24" s="1564" t="s">
        <v>2339</v>
      </c>
      <c r="G24" s="135" t="s">
        <v>62</v>
      </c>
      <c r="H24" s="260" t="str">
        <f t="shared" si="0"/>
        <v>017.Ctn/25kg</v>
      </c>
    </row>
    <row r="25" spans="3:8">
      <c r="C25" s="204">
        <v>18</v>
      </c>
      <c r="D25" s="204"/>
      <c r="E25" s="404" t="s">
        <v>2340</v>
      </c>
      <c r="F25" s="1564" t="s">
        <v>2340</v>
      </c>
      <c r="G25" s="135" t="s">
        <v>62</v>
      </c>
      <c r="H25" s="260" t="str">
        <f t="shared" si="0"/>
        <v>018.Ctn/20kg</v>
      </c>
    </row>
    <row r="26" spans="3:8">
      <c r="C26" s="204">
        <v>19</v>
      </c>
      <c r="D26" s="204"/>
      <c r="E26" s="404" t="s">
        <v>2341</v>
      </c>
      <c r="F26" s="1564" t="s">
        <v>2341</v>
      </c>
      <c r="G26" s="135" t="s">
        <v>62</v>
      </c>
      <c r="H26" s="260" t="str">
        <f t="shared" si="0"/>
        <v>019.Ctn/50kg</v>
      </c>
    </row>
    <row r="27" spans="3:8">
      <c r="C27" s="204"/>
      <c r="D27" s="204"/>
      <c r="E27" s="404"/>
      <c r="F27" s="252"/>
      <c r="G27" s="135"/>
      <c r="H27" s="260" t="str">
        <f t="shared" si="0"/>
        <v/>
      </c>
    </row>
    <row r="28" spans="3:8">
      <c r="C28" s="204"/>
      <c r="D28" s="204"/>
      <c r="E28" s="404"/>
      <c r="F28" s="252"/>
      <c r="G28" s="135"/>
      <c r="H28" s="260" t="str">
        <f t="shared" si="0"/>
        <v/>
      </c>
    </row>
    <row r="29" spans="3:8">
      <c r="C29" s="204"/>
      <c r="D29" s="204"/>
      <c r="E29" s="404"/>
      <c r="F29" s="252"/>
      <c r="G29" s="135"/>
      <c r="H29" s="260" t="str">
        <f t="shared" si="0"/>
        <v/>
      </c>
    </row>
    <row r="30" spans="3:8">
      <c r="C30" s="204"/>
      <c r="D30" s="204"/>
      <c r="E30" s="404"/>
      <c r="F30" s="252"/>
      <c r="G30" s="135"/>
      <c r="H30" s="260" t="str">
        <f t="shared" si="0"/>
        <v/>
      </c>
    </row>
    <row r="31" spans="3:8">
      <c r="C31" s="204"/>
      <c r="D31" s="204"/>
      <c r="E31" s="404"/>
      <c r="F31" s="252"/>
      <c r="G31" s="135"/>
      <c r="H31" s="260" t="str">
        <f t="shared" si="0"/>
        <v/>
      </c>
    </row>
    <row r="32" spans="3:8">
      <c r="C32" s="204"/>
      <c r="D32" s="204"/>
      <c r="E32" s="404"/>
      <c r="F32" s="252"/>
      <c r="G32" s="135"/>
      <c r="H32" s="260" t="str">
        <f t="shared" si="0"/>
        <v/>
      </c>
    </row>
    <row r="33" spans="3:9">
      <c r="C33" s="204"/>
      <c r="D33" s="204"/>
      <c r="E33" s="404"/>
      <c r="F33" s="252"/>
      <c r="G33" s="135"/>
      <c r="H33" s="260" t="str">
        <f t="shared" si="0"/>
        <v/>
      </c>
    </row>
    <row r="34" spans="3:9">
      <c r="C34" s="204"/>
      <c r="D34" s="204"/>
      <c r="E34" s="404"/>
      <c r="F34" s="252"/>
      <c r="G34" s="135"/>
      <c r="H34" s="260" t="str">
        <f t="shared" si="0"/>
        <v/>
      </c>
    </row>
    <row r="35" spans="3:9">
      <c r="C35" s="204"/>
      <c r="D35" s="204"/>
      <c r="E35" s="404"/>
      <c r="F35" s="252"/>
      <c r="G35" s="135"/>
      <c r="H35" s="260" t="str">
        <f t="shared" si="0"/>
        <v/>
      </c>
    </row>
    <row r="36" spans="3:9">
      <c r="C36" s="204"/>
      <c r="D36" s="204"/>
      <c r="E36" s="404"/>
      <c r="F36" s="252"/>
      <c r="G36" s="135"/>
      <c r="H36" s="260" t="str">
        <f t="shared" si="0"/>
        <v/>
      </c>
    </row>
    <row r="37" spans="3:9">
      <c r="C37" s="204"/>
      <c r="D37" s="204"/>
      <c r="E37" s="404"/>
      <c r="F37" s="252"/>
      <c r="G37" s="135"/>
      <c r="H37" s="260" t="str">
        <f t="shared" si="0"/>
        <v/>
      </c>
    </row>
    <row r="38" spans="3:9">
      <c r="C38" s="204"/>
      <c r="D38" s="204"/>
      <c r="E38" s="404"/>
      <c r="F38" s="252"/>
      <c r="G38" s="135"/>
      <c r="H38" s="260" t="str">
        <f t="shared" si="0"/>
        <v/>
      </c>
    </row>
    <row r="39" spans="3:9">
      <c r="C39" s="204"/>
      <c r="D39" s="204"/>
      <c r="E39" s="404"/>
      <c r="F39" s="252"/>
      <c r="G39" s="135"/>
      <c r="H39" s="260" t="str">
        <f t="shared" si="0"/>
        <v/>
      </c>
    </row>
    <row r="40" spans="3:9">
      <c r="H40" s="260" t="str">
        <f t="shared" si="0"/>
        <v/>
      </c>
      <c r="I40" s="434"/>
    </row>
    <row r="41" spans="3:9">
      <c r="H41" s="260" t="str">
        <f t="shared" si="0"/>
        <v/>
      </c>
      <c r="I41" s="434"/>
    </row>
    <row r="42" spans="3:9">
      <c r="H42" s="260" t="str">
        <f t="shared" si="0"/>
        <v/>
      </c>
      <c r="I42" s="434"/>
    </row>
    <row r="43" spans="3:9">
      <c r="H43" s="260" t="str">
        <f t="shared" si="0"/>
        <v/>
      </c>
      <c r="I43" s="434"/>
    </row>
    <row r="44" spans="3:9">
      <c r="H44" s="260" t="str">
        <f t="shared" si="0"/>
        <v/>
      </c>
      <c r="I44" s="434"/>
    </row>
    <row r="45" spans="3:9">
      <c r="H45" s="260" t="str">
        <f t="shared" si="0"/>
        <v/>
      </c>
      <c r="I45" s="434"/>
    </row>
    <row r="46" spans="3:9">
      <c r="H46" s="260" t="str">
        <f t="shared" si="0"/>
        <v/>
      </c>
      <c r="I46" s="434"/>
    </row>
    <row r="47" spans="3:9">
      <c r="H47" s="260" t="str">
        <f t="shared" si="0"/>
        <v/>
      </c>
      <c r="I47" s="434"/>
    </row>
    <row r="48" spans="3:9">
      <c r="H48" s="260" t="str">
        <f t="shared" si="0"/>
        <v/>
      </c>
      <c r="I48" s="434"/>
    </row>
    <row r="49" spans="8:9">
      <c r="H49" s="260" t="str">
        <f t="shared" si="0"/>
        <v/>
      </c>
      <c r="I49" s="434"/>
    </row>
    <row r="50" spans="8:9">
      <c r="H50" s="260" t="str">
        <f t="shared" si="0"/>
        <v/>
      </c>
      <c r="I50" s="434"/>
    </row>
    <row r="51" spans="8:9">
      <c r="H51" s="260" t="str">
        <f t="shared" si="0"/>
        <v/>
      </c>
      <c r="I51" s="434"/>
    </row>
    <row r="52" spans="8:9">
      <c r="H52" s="260" t="str">
        <f t="shared" si="0"/>
        <v/>
      </c>
      <c r="I52" s="434"/>
    </row>
    <row r="53" spans="8:9">
      <c r="H53" s="260" t="str">
        <f t="shared" si="0"/>
        <v/>
      </c>
      <c r="I53" s="434"/>
    </row>
    <row r="54" spans="8:9">
      <c r="H54" s="260" t="str">
        <f t="shared" si="0"/>
        <v/>
      </c>
      <c r="I54" s="434"/>
    </row>
    <row r="55" spans="8:9">
      <c r="H55" s="260" t="str">
        <f t="shared" si="0"/>
        <v/>
      </c>
      <c r="I55" s="434"/>
    </row>
    <row r="56" spans="8:9">
      <c r="H56" s="260" t="str">
        <f t="shared" si="0"/>
        <v/>
      </c>
      <c r="I56" s="434"/>
    </row>
    <row r="57" spans="8:9">
      <c r="H57" s="260" t="str">
        <f t="shared" si="0"/>
        <v/>
      </c>
      <c r="I57" s="434"/>
    </row>
    <row r="58" spans="8:9">
      <c r="H58" s="260" t="str">
        <f t="shared" si="0"/>
        <v/>
      </c>
      <c r="I58" s="434"/>
    </row>
    <row r="59" spans="8:9">
      <c r="H59" s="260" t="str">
        <f t="shared" si="0"/>
        <v/>
      </c>
      <c r="I59" s="434"/>
    </row>
    <row r="60" spans="8:9">
      <c r="H60" s="260" t="str">
        <f t="shared" si="0"/>
        <v/>
      </c>
      <c r="I60" s="434"/>
    </row>
    <row r="61" spans="8:9">
      <c r="H61" s="260" t="str">
        <f t="shared" si="0"/>
        <v/>
      </c>
      <c r="I61" s="434"/>
    </row>
    <row r="62" spans="8:9">
      <c r="H62" s="260" t="str">
        <f t="shared" si="0"/>
        <v/>
      </c>
      <c r="I62" s="434"/>
    </row>
    <row r="63" spans="8:9">
      <c r="H63" s="260" t="str">
        <f t="shared" si="0"/>
        <v/>
      </c>
      <c r="I63" s="434"/>
    </row>
    <row r="64" spans="8:9">
      <c r="H64" s="260" t="str">
        <f t="shared" si="0"/>
        <v/>
      </c>
      <c r="I64" s="434"/>
    </row>
    <row r="65" spans="8:9">
      <c r="H65" s="260" t="str">
        <f t="shared" si="0"/>
        <v/>
      </c>
      <c r="I65" s="434"/>
    </row>
    <row r="66" spans="8:9">
      <c r="H66" s="260" t="str">
        <f t="shared" si="0"/>
        <v/>
      </c>
      <c r="I66" s="434"/>
    </row>
    <row r="67" spans="8:9">
      <c r="H67" s="260" t="str">
        <f t="shared" si="0"/>
        <v/>
      </c>
    </row>
    <row r="68" spans="8:9">
      <c r="H68" s="260" t="str">
        <f t="shared" si="0"/>
        <v/>
      </c>
    </row>
    <row r="69" spans="8:9">
      <c r="H69" s="260" t="str">
        <f t="shared" si="0"/>
        <v/>
      </c>
    </row>
    <row r="70" spans="8:9">
      <c r="H70" s="260" t="str">
        <f t="shared" si="0"/>
        <v/>
      </c>
    </row>
    <row r="71" spans="8:9">
      <c r="H71" s="260" t="str">
        <f>IF(AND(C71&lt;&gt;"",F71&lt;&gt;""),TEXT(C71,"000")&amp;"."&amp;F71,"")</f>
        <v/>
      </c>
    </row>
    <row r="72" spans="8:9">
      <c r="H72" s="260" t="str">
        <f t="shared" si="0"/>
        <v/>
      </c>
    </row>
    <row r="73" spans="8:9">
      <c r="H73" s="260" t="str">
        <f t="shared" ref="H73:H100" si="1">IF(AND(C73&lt;&gt;"",F73&lt;&gt;""),TEXT(C73,"000")&amp;"."&amp;F73,"")</f>
        <v/>
      </c>
    </row>
    <row r="74" spans="8:9">
      <c r="H74" s="260" t="str">
        <f t="shared" si="1"/>
        <v/>
      </c>
    </row>
    <row r="75" spans="8:9">
      <c r="H75" s="260" t="str">
        <f t="shared" si="1"/>
        <v/>
      </c>
    </row>
    <row r="76" spans="8:9">
      <c r="H76" s="260" t="str">
        <f t="shared" si="1"/>
        <v/>
      </c>
    </row>
    <row r="77" spans="8:9">
      <c r="H77" s="260" t="str">
        <f t="shared" si="1"/>
        <v/>
      </c>
    </row>
    <row r="78" spans="8:9">
      <c r="H78" s="260" t="str">
        <f t="shared" si="1"/>
        <v/>
      </c>
    </row>
    <row r="79" spans="8:9">
      <c r="H79" s="260" t="str">
        <f t="shared" si="1"/>
        <v/>
      </c>
    </row>
    <row r="80" spans="8:9">
      <c r="H80" s="260" t="str">
        <f t="shared" si="1"/>
        <v/>
      </c>
    </row>
    <row r="81" spans="8:8">
      <c r="H81" s="260" t="str">
        <f t="shared" si="1"/>
        <v/>
      </c>
    </row>
    <row r="82" spans="8:8">
      <c r="H82" s="260" t="str">
        <f t="shared" si="1"/>
        <v/>
      </c>
    </row>
    <row r="83" spans="8:8">
      <c r="H83" s="260" t="str">
        <f t="shared" si="1"/>
        <v/>
      </c>
    </row>
    <row r="84" spans="8:8">
      <c r="H84" s="260" t="str">
        <f t="shared" si="1"/>
        <v/>
      </c>
    </row>
    <row r="85" spans="8:8">
      <c r="H85" s="260" t="str">
        <f t="shared" si="1"/>
        <v/>
      </c>
    </row>
    <row r="86" spans="8:8">
      <c r="H86" s="260" t="str">
        <f t="shared" si="1"/>
        <v/>
      </c>
    </row>
    <row r="87" spans="8:8">
      <c r="H87" s="260" t="str">
        <f t="shared" si="1"/>
        <v/>
      </c>
    </row>
    <row r="88" spans="8:8">
      <c r="H88" s="260" t="str">
        <f t="shared" si="1"/>
        <v/>
      </c>
    </row>
    <row r="89" spans="8:8">
      <c r="H89" s="260" t="str">
        <f t="shared" si="1"/>
        <v/>
      </c>
    </row>
    <row r="90" spans="8:8">
      <c r="H90" s="260" t="str">
        <f t="shared" si="1"/>
        <v/>
      </c>
    </row>
    <row r="91" spans="8:8">
      <c r="H91" s="260" t="str">
        <f t="shared" si="1"/>
        <v/>
      </c>
    </row>
    <row r="92" spans="8:8">
      <c r="H92" s="260" t="str">
        <f t="shared" si="1"/>
        <v/>
      </c>
    </row>
    <row r="93" spans="8:8">
      <c r="H93" s="260" t="str">
        <f t="shared" si="1"/>
        <v/>
      </c>
    </row>
    <row r="94" spans="8:8">
      <c r="H94" s="260" t="str">
        <f t="shared" si="1"/>
        <v/>
      </c>
    </row>
    <row r="95" spans="8:8">
      <c r="H95" s="260" t="str">
        <f t="shared" si="1"/>
        <v/>
      </c>
    </row>
    <row r="96" spans="8:8">
      <c r="H96" s="260" t="str">
        <f t="shared" si="1"/>
        <v/>
      </c>
    </row>
    <row r="97" spans="8:8">
      <c r="H97" s="260" t="str">
        <f t="shared" si="1"/>
        <v/>
      </c>
    </row>
    <row r="98" spans="8:8">
      <c r="H98" s="260" t="str">
        <f t="shared" si="1"/>
        <v/>
      </c>
    </row>
    <row r="99" spans="8:8">
      <c r="H99" s="260" t="str">
        <f t="shared" si="1"/>
        <v/>
      </c>
    </row>
    <row r="100" spans="8:8">
      <c r="H100" s="260" t="str">
        <f t="shared" si="1"/>
        <v/>
      </c>
    </row>
  </sheetData>
  <mergeCells count="1">
    <mergeCell ref="C4:H4"/>
  </mergeCells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5809" r:id="rId3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9525</xdr:colOff>
                    <xdr:row>1</xdr:row>
                    <xdr:rowOff>266700</xdr:rowOff>
                  </from>
                  <to>
                    <xdr:col>3</xdr:col>
                    <xdr:colOff>485775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1048576"/>
  <sheetViews>
    <sheetView showGridLines="0" zoomScale="90" zoomScaleNormal="90" workbookViewId="0">
      <pane ySplit="7" topLeftCell="A8" activePane="bottomLeft" state="frozen"/>
      <selection pane="bottomLeft" activeCell="M10" sqref="M10"/>
    </sheetView>
  </sheetViews>
  <sheetFormatPr defaultRowHeight="20.100000000000001" customHeight="1"/>
  <cols>
    <col min="3" max="3" width="7.140625" style="204" customWidth="1"/>
    <col min="4" max="5" width="17.5703125" style="204" customWidth="1"/>
    <col min="6" max="6" width="21" style="255" customWidth="1"/>
    <col min="7" max="7" width="23.85546875" style="255" customWidth="1"/>
    <col min="8" max="8" width="18.5703125" style="204" customWidth="1"/>
    <col min="9" max="9" width="23.7109375" style="204" customWidth="1"/>
    <col min="10" max="10" width="20.28515625" style="204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44.25" customHeight="1">
      <c r="C1" s="1547" t="s">
        <v>2695</v>
      </c>
      <c r="D1" s="1548"/>
      <c r="E1" s="1548"/>
      <c r="F1" s="1548"/>
      <c r="G1" s="1548"/>
      <c r="H1" s="1548"/>
      <c r="I1" s="1548"/>
      <c r="J1" s="1548"/>
    </row>
    <row r="2" spans="3:35" ht="33.75" customHeight="1">
      <c r="C2" s="1062" t="s">
        <v>2686</v>
      </c>
      <c r="D2" s="2"/>
      <c r="E2" s="1806" t="s">
        <v>2343</v>
      </c>
      <c r="F2" s="1806"/>
      <c r="G2" s="1556">
        <f>IF(E2="",0,MID(E2,1,3)*1)</f>
        <v>13</v>
      </c>
      <c r="H2" s="1808" t="str">
        <f>IF(uom_con_main_uom="","","1 "&amp;MID(uom_con_main_uom,5,100)&amp;"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1 Case/12boxs = 12 PCS</v>
      </c>
      <c r="I2" s="1808"/>
      <c r="J2" s="1808"/>
      <c r="L2" s="1557"/>
      <c r="M2" s="1557"/>
      <c r="N2" s="1558"/>
    </row>
    <row r="3" spans="3:35" ht="24.95" customHeight="1">
      <c r="C3" s="260" t="s">
        <v>2688</v>
      </c>
      <c r="D3" s="13"/>
      <c r="E3" s="1807" t="s">
        <v>2342</v>
      </c>
      <c r="F3" s="1807"/>
      <c r="G3" s="1552">
        <f>IF(uom_con_small_uom="",0,MID(uom_con_small_uom,1,3)*1)</f>
        <v>2</v>
      </c>
      <c r="I3" s="401" t="s">
        <v>2690</v>
      </c>
      <c r="J3" s="1554">
        <v>12</v>
      </c>
      <c r="L3" s="1557" t="s">
        <v>2701</v>
      </c>
      <c r="M3" s="1557" t="str">
        <f>IF(uom_con_main_uom_id="","",IF(uom_con_middle_value_uom="",0,uom_con_middle_value_uom)&amp;";"&amp;IF(uom_con_small_value_uom="",0,uom_con_small_value_uom))</f>
        <v>12;0</v>
      </c>
      <c r="N3" s="1558"/>
    </row>
    <row r="4" spans="3:35" ht="24.95" customHeight="1">
      <c r="C4" s="260" t="s">
        <v>2687</v>
      </c>
      <c r="D4" s="13"/>
      <c r="E4" s="1807"/>
      <c r="F4" s="1807"/>
      <c r="G4" s="1552">
        <f>IF(uom_con_middle_uom="",0,MID(uom_con_middle_uom,1,3)*1)</f>
        <v>0</v>
      </c>
      <c r="H4" s="13"/>
      <c r="I4" s="401" t="s">
        <v>2689</v>
      </c>
      <c r="J4" s="1553"/>
      <c r="L4" s="1557" t="s">
        <v>2694</v>
      </c>
      <c r="M4" s="1557" t="str">
        <f>IF(uom_con_main_uom_id="","",_xlfn.TEXTJOIN(";",TRUE,G3:G4))</f>
        <v>2;0</v>
      </c>
      <c r="N4" s="1558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1555"/>
      <c r="M5" s="1555"/>
    </row>
    <row r="6" spans="3:35" ht="27.75" customHeight="1">
      <c r="C6" s="1545" t="s">
        <v>59</v>
      </c>
      <c r="D6" s="1544" t="s">
        <v>2371</v>
      </c>
      <c r="E6" s="1544" t="s">
        <v>2372</v>
      </c>
      <c r="F6" s="1544" t="s">
        <v>2691</v>
      </c>
      <c r="G6" s="1544" t="s">
        <v>2692</v>
      </c>
      <c r="H6" s="1544" t="s">
        <v>2373</v>
      </c>
      <c r="I6" s="1544" t="s">
        <v>2374</v>
      </c>
      <c r="J6" s="1546" t="s">
        <v>264</v>
      </c>
      <c r="Q6" s="127"/>
      <c r="AE6" s="1109" t="s">
        <v>59</v>
      </c>
      <c r="AF6" s="1109" t="s">
        <v>1890</v>
      </c>
      <c r="AG6" s="1109" t="s">
        <v>1759</v>
      </c>
      <c r="AH6" s="1109" t="s">
        <v>1699</v>
      </c>
      <c r="AI6" s="1109" t="s">
        <v>264</v>
      </c>
    </row>
    <row r="7" spans="3:35" s="146" customFormat="1" ht="18.75" customHeight="1" thickBot="1">
      <c r="C7" s="1549" t="s">
        <v>328</v>
      </c>
      <c r="D7" s="1550" t="s">
        <v>2696</v>
      </c>
      <c r="E7" s="1550" t="s">
        <v>2697</v>
      </c>
      <c r="F7" s="1550" t="s">
        <v>2693</v>
      </c>
      <c r="G7" s="1550" t="s">
        <v>2694</v>
      </c>
      <c r="H7" s="1550" t="s">
        <v>2698</v>
      </c>
      <c r="I7" s="1550" t="s">
        <v>2699</v>
      </c>
      <c r="J7" s="1551" t="s">
        <v>2023</v>
      </c>
      <c r="L7" s="1542"/>
      <c r="M7" s="1542"/>
      <c r="N7" s="1542"/>
      <c r="O7" s="1543"/>
      <c r="P7" s="1542"/>
      <c r="Q7" s="1543"/>
      <c r="AE7" s="461" t="s">
        <v>11</v>
      </c>
      <c r="AF7" s="461" t="s">
        <v>822</v>
      </c>
      <c r="AG7" s="461" t="s">
        <v>13</v>
      </c>
      <c r="AH7" s="461" t="s">
        <v>18</v>
      </c>
      <c r="AI7" s="461" t="s">
        <v>531</v>
      </c>
    </row>
    <row r="8" spans="3:35" ht="20.100000000000001" customHeight="1">
      <c r="C8" s="204">
        <v>1</v>
      </c>
      <c r="D8" s="204">
        <v>14</v>
      </c>
      <c r="E8" s="204">
        <v>9</v>
      </c>
      <c r="F8" s="255" t="s">
        <v>2336</v>
      </c>
      <c r="G8" s="255" t="s">
        <v>2331</v>
      </c>
      <c r="H8" s="204">
        <v>6</v>
      </c>
      <c r="I8" s="204">
        <v>0</v>
      </c>
      <c r="J8" s="204">
        <v>1</v>
      </c>
      <c r="AE8" s="13"/>
      <c r="AF8" s="13"/>
      <c r="AG8" s="121"/>
      <c r="AH8" s="121"/>
      <c r="AI8" s="13"/>
    </row>
    <row r="9" spans="3:35" ht="20.100000000000001" customHeight="1">
      <c r="C9" s="204">
        <v>2</v>
      </c>
      <c r="D9" s="204">
        <v>14</v>
      </c>
      <c r="E9" s="204">
        <v>2</v>
      </c>
      <c r="F9" s="255" t="s">
        <v>2336</v>
      </c>
      <c r="G9" s="255" t="s">
        <v>2325</v>
      </c>
      <c r="H9" s="204">
        <v>72</v>
      </c>
      <c r="I9" s="204">
        <v>1</v>
      </c>
      <c r="J9" s="204">
        <v>1</v>
      </c>
      <c r="Q9" s="255"/>
      <c r="AE9" s="13"/>
      <c r="AF9" s="13"/>
      <c r="AG9" s="121"/>
      <c r="AH9" s="121"/>
      <c r="AI9" s="13"/>
    </row>
    <row r="10" spans="3:35" ht="20.100000000000001" customHeight="1">
      <c r="C10" s="204">
        <v>3</v>
      </c>
      <c r="D10" s="204">
        <v>13</v>
      </c>
      <c r="E10" s="204">
        <v>9</v>
      </c>
      <c r="F10" s="255" t="s">
        <v>2335</v>
      </c>
      <c r="G10" s="255" t="s">
        <v>2331</v>
      </c>
      <c r="H10" s="204">
        <v>12</v>
      </c>
      <c r="I10" s="204">
        <v>1</v>
      </c>
      <c r="J10" s="204">
        <v>1</v>
      </c>
      <c r="Q10" s="255"/>
      <c r="AE10" s="13"/>
      <c r="AF10" s="13"/>
      <c r="AG10" s="121"/>
      <c r="AH10" s="121"/>
      <c r="AI10" s="13"/>
    </row>
    <row r="11" spans="3:35" ht="20.100000000000001" customHeight="1">
      <c r="Q11" s="255"/>
      <c r="AE11" s="13"/>
      <c r="AF11" s="13"/>
      <c r="AG11" s="121"/>
      <c r="AH11" s="121"/>
      <c r="AI11" s="13"/>
    </row>
    <row r="12" spans="3:35" ht="20.100000000000001" customHeight="1">
      <c r="Q12" s="255"/>
      <c r="AE12" s="13"/>
      <c r="AF12" s="13"/>
      <c r="AG12" s="121"/>
      <c r="AH12" s="121"/>
      <c r="AI12" s="13"/>
    </row>
    <row r="13" spans="3:35" ht="20.100000000000001" customHeight="1">
      <c r="Q13" s="255"/>
      <c r="AE13" s="13"/>
      <c r="AF13" s="13"/>
      <c r="AG13" s="121"/>
      <c r="AH13" s="121"/>
      <c r="AI13" s="13"/>
    </row>
    <row r="14" spans="3:35" ht="20.100000000000001" customHeight="1">
      <c r="Q14" s="255"/>
      <c r="AE14" s="13"/>
      <c r="AF14" s="13"/>
      <c r="AG14" s="121"/>
      <c r="AH14" s="121"/>
      <c r="AI14" s="13"/>
    </row>
    <row r="15" spans="3:35" ht="20.100000000000001" customHeight="1">
      <c r="AE15" s="13"/>
      <c r="AF15" s="13"/>
      <c r="AG15" s="121"/>
      <c r="AH15" s="121"/>
      <c r="AI15" s="13"/>
    </row>
    <row r="16" spans="3:35" ht="20.100000000000001" customHeight="1">
      <c r="AE16" s="13"/>
      <c r="AF16" s="13"/>
      <c r="AG16" s="121"/>
      <c r="AH16" s="121"/>
      <c r="AI16" s="13"/>
    </row>
    <row r="17" spans="31:35" ht="20.100000000000001" customHeight="1">
      <c r="AE17" s="13"/>
      <c r="AF17" s="13"/>
      <c r="AG17" s="121"/>
      <c r="AH17" s="121"/>
      <c r="AI17" s="13"/>
    </row>
    <row r="18" spans="31:35" ht="20.100000000000001" customHeight="1">
      <c r="AE18" s="13"/>
      <c r="AF18" s="13"/>
      <c r="AG18" s="121"/>
      <c r="AH18" s="121"/>
      <c r="AI18" s="13"/>
    </row>
    <row r="19" spans="31:35" ht="20.100000000000001" customHeight="1">
      <c r="AE19" s="13">
        <v>12</v>
      </c>
      <c r="AF19" s="13"/>
      <c r="AG19" s="121" t="s">
        <v>2334</v>
      </c>
      <c r="AH19" s="121" t="s">
        <v>2334</v>
      </c>
      <c r="AI19" s="13" t="s">
        <v>62</v>
      </c>
    </row>
    <row r="20" spans="31:35" ht="20.100000000000001" customHeight="1">
      <c r="AE20" s="13">
        <v>13</v>
      </c>
      <c r="AF20" s="13"/>
      <c r="AG20" s="121" t="s">
        <v>2335</v>
      </c>
      <c r="AH20" s="121" t="s">
        <v>2335</v>
      </c>
      <c r="AI20" s="13" t="s">
        <v>62</v>
      </c>
    </row>
    <row r="21" spans="31:35" ht="20.100000000000001" customHeight="1">
      <c r="AE21" s="13">
        <v>14</v>
      </c>
      <c r="AF21" s="13"/>
      <c r="AG21" s="121" t="s">
        <v>2336</v>
      </c>
      <c r="AH21" s="121" t="s">
        <v>2336</v>
      </c>
      <c r="AI21" s="13" t="s">
        <v>62</v>
      </c>
    </row>
    <row r="22" spans="31:35" ht="20.100000000000001" customHeight="1">
      <c r="AE22" s="13">
        <v>15</v>
      </c>
      <c r="AF22" s="13"/>
      <c r="AG22" s="121" t="s">
        <v>2337</v>
      </c>
      <c r="AH22" s="121" t="s">
        <v>2337</v>
      </c>
      <c r="AI22" s="13" t="s">
        <v>62</v>
      </c>
    </row>
    <row r="23" spans="31:35" ht="20.100000000000001" customHeight="1">
      <c r="AE23" s="13">
        <v>16</v>
      </c>
      <c r="AF23" s="13"/>
      <c r="AG23" s="121" t="s">
        <v>2338</v>
      </c>
      <c r="AH23" s="121" t="s">
        <v>2338</v>
      </c>
      <c r="AI23" s="13" t="s">
        <v>62</v>
      </c>
    </row>
    <row r="24" spans="31:35" ht="20.100000000000001" customHeight="1">
      <c r="AE24" s="13">
        <v>17</v>
      </c>
      <c r="AF24" s="13"/>
      <c r="AG24" s="121" t="s">
        <v>2339</v>
      </c>
      <c r="AH24" s="121" t="s">
        <v>2339</v>
      </c>
      <c r="AI24" s="13" t="s">
        <v>62</v>
      </c>
    </row>
    <row r="25" spans="31:35" ht="20.100000000000001" customHeight="1">
      <c r="AE25" s="13">
        <v>18</v>
      </c>
      <c r="AF25" s="13"/>
      <c r="AG25" s="121" t="s">
        <v>2340</v>
      </c>
      <c r="AH25" s="121" t="s">
        <v>2340</v>
      </c>
      <c r="AI25" s="13" t="s">
        <v>62</v>
      </c>
    </row>
    <row r="26" spans="31:35" ht="20.100000000000001" customHeight="1">
      <c r="AE26" s="13">
        <v>19</v>
      </c>
      <c r="AF26" s="13"/>
      <c r="AG26" s="121" t="s">
        <v>2341</v>
      </c>
      <c r="AH26" s="121" t="s">
        <v>2341</v>
      </c>
      <c r="AI26" s="13" t="s">
        <v>62</v>
      </c>
    </row>
    <row r="1048536" spans="6:7" ht="20.100000000000001" customHeight="1">
      <c r="F1048536" s="260"/>
      <c r="G1048536" s="260"/>
    </row>
    <row r="1048537" spans="6:7" ht="20.100000000000001" customHeight="1">
      <c r="F1048537" s="260"/>
      <c r="G1048537" s="260"/>
    </row>
    <row r="1048538" spans="6:7" ht="20.100000000000001" customHeight="1">
      <c r="F1048538" s="260"/>
      <c r="G1048538" s="260"/>
    </row>
    <row r="1048539" spans="6:7" ht="20.100000000000001" customHeight="1">
      <c r="F1048539" s="260"/>
      <c r="G1048539" s="260"/>
    </row>
    <row r="1048540" spans="6:7" ht="20.100000000000001" customHeight="1">
      <c r="F1048540" s="260"/>
      <c r="G1048540" s="260"/>
    </row>
    <row r="1048541" spans="6:7" ht="20.100000000000001" customHeight="1">
      <c r="F1048541" s="260"/>
      <c r="G1048541" s="260"/>
    </row>
    <row r="1048542" spans="6:7" ht="20.100000000000001" customHeight="1">
      <c r="F1048542" s="260"/>
      <c r="G1048542" s="260"/>
    </row>
    <row r="1048543" spans="6:7" ht="20.100000000000001" customHeight="1">
      <c r="F1048543" s="260"/>
      <c r="G1048543" s="260"/>
    </row>
    <row r="1048544" spans="6:7" ht="20.100000000000001" customHeight="1">
      <c r="F1048544" s="260"/>
      <c r="G1048544" s="260"/>
    </row>
    <row r="1048545" spans="6:7" ht="20.100000000000001" customHeight="1">
      <c r="F1048545" s="260"/>
      <c r="G1048545" s="260"/>
    </row>
    <row r="1048546" spans="6:7" ht="20.100000000000001" customHeight="1">
      <c r="F1048546" s="260"/>
      <c r="G1048546" s="260"/>
    </row>
    <row r="1048547" spans="6:7" ht="20.100000000000001" customHeight="1">
      <c r="F1048547" s="260"/>
      <c r="G1048547" s="260"/>
    </row>
    <row r="1048548" spans="6:7" ht="20.100000000000001" customHeight="1">
      <c r="F1048548" s="260"/>
      <c r="G1048548" s="260"/>
    </row>
    <row r="1048549" spans="6:7" ht="20.100000000000001" customHeight="1">
      <c r="F1048549" s="260"/>
      <c r="G1048549" s="260"/>
    </row>
    <row r="1048550" spans="6:7" ht="20.100000000000001" customHeight="1">
      <c r="F1048550" s="260"/>
      <c r="G1048550" s="260"/>
    </row>
    <row r="1048551" spans="6:7" ht="20.100000000000001" customHeight="1">
      <c r="F1048551" s="260"/>
      <c r="G1048551" s="260"/>
    </row>
    <row r="1048552" spans="6:7" ht="20.100000000000001" customHeight="1">
      <c r="F1048552" s="260"/>
      <c r="G1048552" s="260"/>
    </row>
    <row r="1048553" spans="6:7" ht="20.100000000000001" customHeight="1">
      <c r="F1048553" s="260"/>
      <c r="G1048553" s="260"/>
    </row>
    <row r="1048554" spans="6:7" ht="20.100000000000001" customHeight="1">
      <c r="F1048554" s="260"/>
      <c r="G1048554" s="260"/>
    </row>
    <row r="1048555" spans="6:7" ht="20.100000000000001" customHeight="1">
      <c r="F1048555" s="260"/>
      <c r="G1048555" s="260"/>
    </row>
    <row r="1048556" spans="6:7" ht="20.100000000000001" customHeight="1">
      <c r="F1048556" s="260"/>
      <c r="G1048556" s="260"/>
    </row>
    <row r="1048557" spans="6:7" ht="20.100000000000001" customHeight="1">
      <c r="F1048557" s="260"/>
      <c r="G1048557" s="260"/>
    </row>
    <row r="1048558" spans="6:7" ht="20.100000000000001" customHeight="1">
      <c r="F1048558" s="260"/>
      <c r="G1048558" s="260"/>
    </row>
    <row r="1048559" spans="6:7" ht="20.100000000000001" customHeight="1">
      <c r="F1048559" s="260"/>
      <c r="G1048559" s="260"/>
    </row>
    <row r="1048560" spans="6:7" ht="20.100000000000001" customHeight="1">
      <c r="F1048560" s="260"/>
      <c r="G1048560" s="260"/>
    </row>
    <row r="1048561" spans="6:7" ht="20.100000000000001" customHeight="1">
      <c r="F1048561" s="260"/>
      <c r="G1048561" s="260"/>
    </row>
    <row r="1048562" spans="6:7" ht="20.100000000000001" customHeight="1">
      <c r="F1048562" s="260"/>
      <c r="G1048562" s="260"/>
    </row>
    <row r="1048563" spans="6:7" ht="20.100000000000001" customHeight="1">
      <c r="F1048563" s="260"/>
      <c r="G1048563" s="260"/>
    </row>
    <row r="1048564" spans="6:7" ht="20.100000000000001" customHeight="1">
      <c r="F1048564" s="260"/>
      <c r="G1048564" s="260"/>
    </row>
    <row r="1048565" spans="6:7" ht="20.100000000000001" customHeight="1">
      <c r="F1048565" s="260"/>
      <c r="G1048565" s="260"/>
    </row>
    <row r="1048566" spans="6:7" ht="20.100000000000001" customHeight="1">
      <c r="F1048566" s="260"/>
      <c r="G1048566" s="260"/>
    </row>
    <row r="1048567" spans="6:7" ht="20.100000000000001" customHeight="1">
      <c r="F1048567" s="260"/>
      <c r="G1048567" s="260"/>
    </row>
    <row r="1048568" spans="6:7" ht="20.100000000000001" customHeight="1">
      <c r="F1048568" s="260"/>
      <c r="G1048568" s="260"/>
    </row>
    <row r="1048569" spans="6:7" ht="20.100000000000001" customHeight="1">
      <c r="F1048569" s="260"/>
      <c r="G1048569" s="260"/>
    </row>
    <row r="1048570" spans="6:7" ht="20.100000000000001" customHeight="1">
      <c r="F1048570" s="260"/>
      <c r="G1048570" s="260"/>
    </row>
    <row r="1048571" spans="6:7" ht="20.100000000000001" customHeight="1">
      <c r="F1048571" s="260"/>
      <c r="G1048571" s="260"/>
    </row>
    <row r="1048572" spans="6:7" ht="20.100000000000001" customHeight="1">
      <c r="F1048572" s="260"/>
      <c r="G1048572" s="260"/>
    </row>
    <row r="1048573" spans="6:7" ht="20.100000000000001" customHeight="1">
      <c r="F1048573" s="260"/>
      <c r="G1048573" s="260"/>
    </row>
    <row r="1048574" spans="6:7" ht="20.100000000000001" customHeight="1">
      <c r="F1048574" s="260"/>
      <c r="G1048574" s="260"/>
    </row>
    <row r="1048575" spans="6:7" ht="20.100000000000001" customHeight="1">
      <c r="F1048575" s="260"/>
      <c r="G1048575" s="260"/>
    </row>
    <row r="1048576" spans="6:7" ht="20.100000000000001" customHeight="1">
      <c r="F1048576" s="260"/>
      <c r="G1048576" s="260"/>
    </row>
  </sheetData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35" r:id="rId4" name="Button 3">
              <controlPr defaultSize="0" print="0" autoFill="0" autoPict="0" macro="[0]!goToHome" altText="ទំព័រដើម">
                <anchor moveWithCells="1" sizeWithCells="1">
                  <from>
                    <xdr:col>7</xdr:col>
                    <xdr:colOff>1181100</xdr:colOff>
                    <xdr:row>0</xdr:row>
                    <xdr:rowOff>85725</xdr:rowOff>
                  </from>
                  <to>
                    <xdr:col>8</xdr:col>
                    <xdr:colOff>981075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836" r:id="rId5" name="Button 4">
              <controlPr defaultSize="0" autoFill="0" autoPict="0" macro="[0]!addUomConversion">
                <anchor moveWithCells="1">
                  <from>
                    <xdr:col>8</xdr:col>
                    <xdr:colOff>1114425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G13" sqref="G13"/>
    </sheetView>
  </sheetViews>
  <sheetFormatPr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433" customWidth="1"/>
    <col min="7" max="7" width="39.28515625" style="128" customWidth="1"/>
    <col min="8" max="8" width="45.7109375" style="243" customWidth="1"/>
    <col min="9" max="12" width="35.28515625" style="243" customWidth="1"/>
    <col min="13" max="13" width="38.5703125" style="243" customWidth="1"/>
    <col min="14" max="14" width="24" style="243" customWidth="1"/>
    <col min="15" max="15" width="23.7109375" style="243" customWidth="1"/>
    <col min="16" max="18" width="21.85546875" style="243" customWidth="1"/>
    <col min="19" max="19" width="15.85546875" style="243" customWidth="1"/>
    <col min="20" max="21" width="30.7109375" style="249" customWidth="1"/>
    <col min="22" max="22" width="26.7109375" style="128" customWidth="1"/>
    <col min="23" max="23" width="12.5703125" style="128" customWidth="1"/>
    <col min="24" max="24" width="40.28515625" style="330" customWidth="1"/>
    <col min="25" max="25" width="34" style="243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222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446" t="s">
        <v>59</v>
      </c>
      <c r="D5" s="446" t="s">
        <v>878</v>
      </c>
      <c r="E5" s="446" t="s">
        <v>2580</v>
      </c>
      <c r="F5" s="446" t="s">
        <v>410</v>
      </c>
      <c r="G5" s="467" t="s">
        <v>411</v>
      </c>
      <c r="H5" s="1113" t="str">
        <f>"ពត៌មានធនាគារ ("&amp;COUNTA(H6:S6)&amp;")"</f>
        <v>ពត៌មានធនាគារ (12)</v>
      </c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9"/>
      <c r="T5" s="470" t="s">
        <v>145</v>
      </c>
      <c r="U5" s="470" t="s">
        <v>145</v>
      </c>
      <c r="V5" s="446" t="s">
        <v>879</v>
      </c>
      <c r="W5" s="446" t="s">
        <v>880</v>
      </c>
      <c r="X5" s="446" t="s">
        <v>881</v>
      </c>
      <c r="Y5" s="497" t="s">
        <v>882</v>
      </c>
      <c r="Z5" s="446" t="s">
        <v>866</v>
      </c>
      <c r="AA5" s="446" t="s">
        <v>883</v>
      </c>
      <c r="AB5" s="446" t="s">
        <v>884</v>
      </c>
      <c r="AC5" s="446" t="s">
        <v>885</v>
      </c>
      <c r="AD5" s="446" t="s">
        <v>839</v>
      </c>
      <c r="AE5" s="446" t="s">
        <v>886</v>
      </c>
      <c r="AF5" s="446" t="s">
        <v>264</v>
      </c>
      <c r="AG5" s="327"/>
    </row>
    <row r="6" spans="3:33" s="380" customFormat="1" ht="18" customHeight="1">
      <c r="C6" s="990" t="s">
        <v>10</v>
      </c>
      <c r="D6" s="990" t="s">
        <v>869</v>
      </c>
      <c r="E6" s="990" t="s">
        <v>800</v>
      </c>
      <c r="F6" s="990" t="s">
        <v>870</v>
      </c>
      <c r="G6" s="990" t="s">
        <v>862</v>
      </c>
      <c r="H6" s="466" t="s">
        <v>42</v>
      </c>
      <c r="I6" s="466" t="s">
        <v>1710</v>
      </c>
      <c r="J6" s="466" t="s">
        <v>2386</v>
      </c>
      <c r="K6" s="466" t="s">
        <v>2385</v>
      </c>
      <c r="L6" s="466" t="s">
        <v>2387</v>
      </c>
      <c r="M6" s="466" t="s">
        <v>2388</v>
      </c>
      <c r="N6" s="466" t="s">
        <v>2389</v>
      </c>
      <c r="O6" s="466" t="s">
        <v>2390</v>
      </c>
      <c r="P6" s="466" t="s">
        <v>2391</v>
      </c>
      <c r="Q6" s="466" t="s">
        <v>2392</v>
      </c>
      <c r="R6" s="466" t="s">
        <v>2393</v>
      </c>
      <c r="S6" s="466" t="s">
        <v>2394</v>
      </c>
      <c r="T6" s="990" t="s">
        <v>413</v>
      </c>
      <c r="U6" s="990" t="s">
        <v>2399</v>
      </c>
      <c r="V6" s="990" t="s">
        <v>871</v>
      </c>
      <c r="W6" s="990" t="s">
        <v>872</v>
      </c>
      <c r="X6" s="1115" t="s">
        <v>30</v>
      </c>
      <c r="Y6" s="466" t="s">
        <v>877</v>
      </c>
      <c r="Z6" s="410" t="s">
        <v>863</v>
      </c>
      <c r="AA6" s="410" t="s">
        <v>873</v>
      </c>
      <c r="AB6" s="410" t="s">
        <v>874</v>
      </c>
      <c r="AC6" s="410" t="s">
        <v>875</v>
      </c>
      <c r="AD6" s="410" t="s">
        <v>824</v>
      </c>
      <c r="AE6" s="410" t="s">
        <v>887</v>
      </c>
      <c r="AF6" s="410" t="s">
        <v>212</v>
      </c>
      <c r="AG6" s="327"/>
    </row>
    <row r="7" spans="3:33" s="147" customFormat="1" ht="46.5">
      <c r="C7" s="500">
        <v>1</v>
      </c>
      <c r="D7" s="500">
        <v>1</v>
      </c>
      <c r="E7" s="500">
        <v>1</v>
      </c>
      <c r="F7" s="498" t="s">
        <v>2384</v>
      </c>
      <c r="G7" s="459" t="s">
        <v>1935</v>
      </c>
      <c r="H7" s="459" t="s">
        <v>2424</v>
      </c>
      <c r="I7" s="459"/>
      <c r="J7" s="459"/>
      <c r="K7" s="459"/>
      <c r="L7" s="459"/>
      <c r="M7" s="459"/>
      <c r="N7" s="459"/>
      <c r="O7" s="459"/>
      <c r="P7" s="459"/>
      <c r="Q7" s="459"/>
      <c r="R7" s="459"/>
      <c r="S7" s="459"/>
      <c r="T7" s="499" t="s">
        <v>142</v>
      </c>
      <c r="U7" s="499" t="s">
        <v>2395</v>
      </c>
      <c r="V7" s="1188" t="s">
        <v>2397</v>
      </c>
      <c r="W7" s="459"/>
      <c r="X7" s="498" t="s">
        <v>2396</v>
      </c>
      <c r="Y7" s="459" t="s">
        <v>2398</v>
      </c>
      <c r="Z7" s="500">
        <v>1</v>
      </c>
      <c r="AA7" s="500">
        <v>1</v>
      </c>
      <c r="AB7" s="500"/>
      <c r="AC7" s="500"/>
      <c r="AD7" s="1114">
        <v>45658</v>
      </c>
      <c r="AE7" s="500">
        <v>1</v>
      </c>
      <c r="AF7" s="500">
        <v>1</v>
      </c>
      <c r="AG7" s="994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7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65569" r:id="rId7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152400</xdr:colOff>
                    <xdr:row>1</xdr:row>
                    <xdr:rowOff>57150</xdr:rowOff>
                  </from>
                  <to>
                    <xdr:col>3</xdr:col>
                    <xdr:colOff>342900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="80" zoomScaleNormal="80" workbookViewId="0">
      <pane ySplit="7" topLeftCell="A8" activePane="bottomLeft" state="frozen"/>
      <selection pane="bottomLeft" activeCell="F13" sqref="F13"/>
    </sheetView>
  </sheetViews>
  <sheetFormatPr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249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3"/>
    </row>
    <row r="2" spans="3:7" customFormat="1">
      <c r="G2" s="153"/>
    </row>
    <row r="3" spans="3:7" customFormat="1">
      <c r="G3" s="153"/>
    </row>
    <row r="4" spans="3:7" customFormat="1" ht="42">
      <c r="C4" s="1809" t="s">
        <v>1712</v>
      </c>
      <c r="D4" s="1809"/>
      <c r="E4" s="1809"/>
      <c r="F4" s="1809"/>
      <c r="G4" s="1809"/>
    </row>
    <row r="5" spans="3:7" customFormat="1">
      <c r="G5" s="153"/>
    </row>
    <row r="6" spans="3:7" customFormat="1" ht="25.5">
      <c r="C6" s="463" t="s">
        <v>59</v>
      </c>
      <c r="D6" s="463" t="s">
        <v>258</v>
      </c>
      <c r="E6" s="463" t="s">
        <v>1708</v>
      </c>
      <c r="F6" s="463" t="s">
        <v>1709</v>
      </c>
      <c r="G6" s="464" t="s">
        <v>331</v>
      </c>
    </row>
    <row r="7" spans="3:7" customFormat="1">
      <c r="C7" s="462" t="s">
        <v>11</v>
      </c>
      <c r="D7" s="462" t="s">
        <v>253</v>
      </c>
      <c r="E7" s="462" t="s">
        <v>1705</v>
      </c>
      <c r="F7" s="462" t="s">
        <v>1706</v>
      </c>
      <c r="G7" s="465" t="s">
        <v>1707</v>
      </c>
    </row>
    <row r="8" spans="3:7" ht="23.1" customHeight="1">
      <c r="C8" s="126">
        <v>1</v>
      </c>
      <c r="D8" s="126">
        <v>1</v>
      </c>
      <c r="E8" s="126" t="s">
        <v>42</v>
      </c>
      <c r="F8" s="126" t="s">
        <v>1713</v>
      </c>
      <c r="G8" s="249" t="s">
        <v>1714</v>
      </c>
    </row>
    <row r="9" spans="3:7" ht="23.1" customHeight="1">
      <c r="C9" s="126">
        <v>2</v>
      </c>
      <c r="D9" s="126">
        <v>1</v>
      </c>
      <c r="E9" s="126" t="s">
        <v>1710</v>
      </c>
      <c r="F9" s="126" t="s">
        <v>1711</v>
      </c>
      <c r="G9" s="249" t="s">
        <v>1715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7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D9270-4BC2-4D05-A3AA-4797911F9AB9}">
  <sheetPr codeName="Sheet10"/>
  <dimension ref="C1:H28"/>
  <sheetViews>
    <sheetView showGridLines="0" zoomScale="90" zoomScaleNormal="90" workbookViewId="0">
      <pane ySplit="5" topLeftCell="A6" activePane="bottomLeft" state="frozen"/>
      <selection pane="bottomLeft" activeCell="M15" sqref="M15"/>
    </sheetView>
  </sheetViews>
  <sheetFormatPr defaultRowHeight="25.5"/>
  <cols>
    <col min="1" max="1" width="4.5703125" style="128" customWidth="1"/>
    <col min="2" max="2" width="4.28515625" style="128" customWidth="1"/>
    <col min="3" max="3" width="12.5703125" style="126" customWidth="1"/>
    <col min="4" max="4" width="21.5703125" style="260" customWidth="1"/>
    <col min="5" max="5" width="20.85546875" style="181" customWidth="1"/>
    <col min="6" max="6" width="18.140625" style="391" customWidth="1"/>
    <col min="7" max="7" width="23.5703125" style="127" customWidth="1"/>
    <col min="8" max="8" width="24.5703125" style="260" bestFit="1" customWidth="1"/>
    <col min="9" max="16384" width="9.140625" style="128"/>
  </cols>
  <sheetData>
    <row r="1" spans="3:8" ht="13.5" customHeight="1">
      <c r="D1" s="127"/>
      <c r="F1" s="127"/>
      <c r="H1" s="128"/>
    </row>
    <row r="2" spans="3:8" ht="39.75" customHeight="1">
      <c r="C2" s="1810" t="s">
        <v>287</v>
      </c>
      <c r="D2" s="1810"/>
      <c r="E2" s="1810"/>
      <c r="F2" s="1810"/>
      <c r="G2" s="1810"/>
      <c r="H2" s="128"/>
    </row>
    <row r="3" spans="3:8" ht="14.25" hidden="1" customHeight="1">
      <c r="D3" s="127"/>
      <c r="F3" s="127"/>
      <c r="H3" s="128"/>
    </row>
    <row r="4" spans="3:8" ht="29.25" customHeight="1">
      <c r="C4" s="390" t="s">
        <v>204</v>
      </c>
      <c r="D4" s="390" t="s">
        <v>288</v>
      </c>
      <c r="E4" s="390" t="s">
        <v>289</v>
      </c>
      <c r="F4" s="390" t="s">
        <v>147</v>
      </c>
      <c r="G4" s="390" t="s">
        <v>101</v>
      </c>
      <c r="H4" s="128"/>
    </row>
    <row r="5" spans="3:8" ht="17.25" customHeight="1">
      <c r="C5" s="392" t="s">
        <v>136</v>
      </c>
      <c r="D5" s="392" t="s">
        <v>13</v>
      </c>
      <c r="E5" s="392" t="s">
        <v>413</v>
      </c>
      <c r="F5" s="392" t="s">
        <v>30</v>
      </c>
      <c r="G5" s="392" t="s">
        <v>106</v>
      </c>
      <c r="H5" s="128"/>
    </row>
    <row r="6" spans="3:8" ht="24.95" customHeight="1">
      <c r="C6" s="384"/>
      <c r="D6" s="393"/>
      <c r="E6" s="387"/>
      <c r="F6" s="394"/>
      <c r="G6" s="385"/>
      <c r="H6" s="260" t="str">
        <f>IF(AND(C6&lt;&gt;"",D6&lt;&gt;""),TEXT(C6,"000")&amp;"."&amp;D6,"")</f>
        <v/>
      </c>
    </row>
    <row r="7" spans="3:8" ht="24.95" customHeight="1">
      <c r="C7" s="384"/>
      <c r="D7" s="393"/>
      <c r="E7" s="387"/>
      <c r="F7" s="394"/>
      <c r="G7" s="385"/>
      <c r="H7" s="260" t="str">
        <f t="shared" ref="H7:H19" si="0">IF(AND(C7&lt;&gt;"",D7&lt;&gt;""),TEXT(C7,"000")&amp;"."&amp;D7,"")</f>
        <v/>
      </c>
    </row>
    <row r="8" spans="3:8" ht="24.95" customHeight="1">
      <c r="C8" s="384"/>
      <c r="D8" s="393"/>
      <c r="E8" s="387"/>
      <c r="F8" s="394"/>
      <c r="G8" s="385"/>
      <c r="H8" s="260" t="str">
        <f t="shared" si="0"/>
        <v/>
      </c>
    </row>
    <row r="9" spans="3:8" ht="24.95" customHeight="1">
      <c r="C9" s="384"/>
      <c r="D9" s="393"/>
      <c r="E9" s="387"/>
      <c r="F9" s="394"/>
      <c r="G9" s="385"/>
      <c r="H9" s="260" t="str">
        <f t="shared" si="0"/>
        <v/>
      </c>
    </row>
    <row r="10" spans="3:8" ht="24.95" customHeight="1">
      <c r="C10" s="384"/>
      <c r="D10" s="393"/>
      <c r="E10" s="387"/>
      <c r="F10" s="394"/>
      <c r="G10" s="385"/>
      <c r="H10" s="260" t="str">
        <f t="shared" si="0"/>
        <v/>
      </c>
    </row>
    <row r="11" spans="3:8" ht="24.95" customHeight="1">
      <c r="C11" s="384"/>
      <c r="D11" s="393"/>
      <c r="E11" s="387"/>
      <c r="F11" s="394"/>
      <c r="G11" s="385"/>
      <c r="H11" s="260" t="str">
        <f t="shared" si="0"/>
        <v/>
      </c>
    </row>
    <row r="12" spans="3:8" ht="24.95" customHeight="1">
      <c r="C12" s="384"/>
      <c r="D12" s="393"/>
      <c r="E12" s="387"/>
      <c r="F12" s="394"/>
      <c r="G12" s="385"/>
      <c r="H12" s="260" t="str">
        <f t="shared" si="0"/>
        <v/>
      </c>
    </row>
    <row r="13" spans="3:8" ht="24.95" customHeight="1">
      <c r="C13" s="384"/>
      <c r="D13" s="393"/>
      <c r="E13" s="387"/>
      <c r="F13" s="394"/>
      <c r="G13" s="385"/>
      <c r="H13" s="260" t="str">
        <f t="shared" si="0"/>
        <v/>
      </c>
    </row>
    <row r="14" spans="3:8" ht="24.95" customHeight="1">
      <c r="C14" s="384"/>
      <c r="D14" s="393"/>
      <c r="E14" s="387"/>
      <c r="F14" s="394"/>
      <c r="G14" s="385"/>
      <c r="H14" s="260" t="str">
        <f t="shared" si="0"/>
        <v/>
      </c>
    </row>
    <row r="15" spans="3:8" ht="24.95" customHeight="1">
      <c r="C15" s="384"/>
      <c r="D15" s="393"/>
      <c r="E15" s="387"/>
      <c r="F15" s="394"/>
      <c r="G15" s="385"/>
      <c r="H15" s="260" t="str">
        <f t="shared" si="0"/>
        <v/>
      </c>
    </row>
    <row r="16" spans="3:8">
      <c r="C16" s="384"/>
      <c r="D16" s="393"/>
      <c r="E16" s="387"/>
      <c r="F16" s="394"/>
      <c r="G16" s="385"/>
      <c r="H16" s="260" t="str">
        <f t="shared" si="0"/>
        <v/>
      </c>
    </row>
    <row r="17" spans="3:8" ht="24.95" customHeight="1">
      <c r="C17" s="384"/>
      <c r="D17" s="393"/>
      <c r="E17" s="387"/>
      <c r="F17" s="394"/>
      <c r="G17" s="385"/>
      <c r="H17" s="260" t="str">
        <f t="shared" si="0"/>
        <v/>
      </c>
    </row>
    <row r="18" spans="3:8" ht="24.95" customHeight="1">
      <c r="C18" s="384"/>
      <c r="D18" s="393"/>
      <c r="E18" s="387"/>
      <c r="F18" s="394"/>
      <c r="G18" s="385"/>
      <c r="H18" s="260" t="str">
        <f t="shared" si="0"/>
        <v/>
      </c>
    </row>
    <row r="19" spans="3:8" ht="24.95" customHeight="1">
      <c r="C19" s="384"/>
      <c r="D19" s="393"/>
      <c r="E19" s="388"/>
      <c r="F19" s="394"/>
      <c r="G19" s="385"/>
      <c r="H19" s="260" t="str">
        <f t="shared" si="0"/>
        <v/>
      </c>
    </row>
    <row r="20" spans="3:8" ht="24.95" customHeight="1"/>
    <row r="28" spans="3:8" ht="24.95" customHeight="1"/>
  </sheetData>
  <mergeCells count="1">
    <mergeCell ref="C2:G2"/>
  </mergeCells>
  <phoneticPr fontId="3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4178" r:id="rId4" name="Button 2">
              <controlPr defaultSize="0" print="0" autoFill="0" autoPict="0" macro="[0]!goToHome" altText="ទំព័រដើម">
                <anchor moveWithCells="1" sizeWithCells="1">
                  <from>
                    <xdr:col>7</xdr:col>
                    <xdr:colOff>333375</xdr:colOff>
                    <xdr:row>3</xdr:row>
                    <xdr:rowOff>28575</xdr:rowOff>
                  </from>
                  <to>
                    <xdr:col>7</xdr:col>
                    <xdr:colOff>1562100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B1:J104"/>
  <sheetViews>
    <sheetView showGridLines="0" zoomScale="90" zoomScaleNormal="90" workbookViewId="0">
      <pane ySplit="5" topLeftCell="A6" activePane="bottomLeft" state="frozen"/>
      <selection pane="bottomLeft" activeCell="I12" sqref="I12"/>
    </sheetView>
  </sheetViews>
  <sheetFormatPr defaultRowHeight="25.5"/>
  <cols>
    <col min="1" max="1" width="4.7109375" style="128" customWidth="1"/>
    <col min="2" max="2" width="9.140625" style="995"/>
    <col min="3" max="3" width="16.5703125" style="283" customWidth="1"/>
    <col min="4" max="4" width="21.5703125" style="285" customWidth="1"/>
    <col min="5" max="5" width="22.85546875" style="286" bestFit="1" customWidth="1"/>
    <col min="6" max="6" width="25" style="287" customWidth="1"/>
    <col min="7" max="7" width="33.42578125" style="286" customWidth="1"/>
    <col min="8" max="8" width="18.7109375" style="285" customWidth="1"/>
    <col min="9" max="9" width="21.5703125" style="285" customWidth="1"/>
    <col min="10" max="10" width="26.5703125" style="260" customWidth="1"/>
    <col min="11" max="16384" width="9.140625" style="128"/>
  </cols>
  <sheetData>
    <row r="1" spans="2:10" ht="13.5" customHeight="1">
      <c r="B1" s="255"/>
      <c r="C1" s="126"/>
      <c r="D1" s="127"/>
      <c r="E1" s="128"/>
      <c r="F1" s="181"/>
      <c r="G1" s="128"/>
      <c r="H1" s="127"/>
      <c r="I1" s="127"/>
    </row>
    <row r="2" spans="2:10" ht="48.75" customHeight="1">
      <c r="B2" s="255"/>
      <c r="C2" s="1811" t="s">
        <v>322</v>
      </c>
      <c r="D2" s="1811"/>
      <c r="E2" s="1811"/>
      <c r="F2" s="1811"/>
      <c r="G2" s="1811"/>
      <c r="H2" s="1811"/>
      <c r="I2" s="1811"/>
    </row>
    <row r="3" spans="2:10" ht="6" customHeight="1">
      <c r="B3" s="255"/>
      <c r="C3" s="126"/>
      <c r="D3" s="127"/>
      <c r="E3" s="128"/>
      <c r="F3" s="181"/>
      <c r="G3" s="128"/>
      <c r="H3" s="127"/>
      <c r="I3" s="127"/>
    </row>
    <row r="4" spans="2:10" hidden="1">
      <c r="B4" s="255"/>
      <c r="C4" s="126"/>
      <c r="D4" s="127"/>
      <c r="E4" s="128"/>
      <c r="F4" s="181"/>
      <c r="G4" s="128"/>
      <c r="H4" s="127"/>
      <c r="I4" s="127"/>
    </row>
    <row r="5" spans="2:10" ht="36.75" customHeight="1">
      <c r="B5" s="284" t="s">
        <v>10</v>
      </c>
      <c r="C5" s="284" t="s">
        <v>136</v>
      </c>
      <c r="D5" s="284" t="s">
        <v>137</v>
      </c>
      <c r="E5" s="284" t="s">
        <v>19</v>
      </c>
      <c r="F5" s="284" t="s">
        <v>138</v>
      </c>
      <c r="G5" s="284" t="s">
        <v>139</v>
      </c>
      <c r="H5" s="284" t="s">
        <v>30</v>
      </c>
      <c r="I5" s="284" t="s">
        <v>106</v>
      </c>
    </row>
    <row r="6" spans="2:10" ht="24.95" customHeight="1">
      <c r="B6" s="281"/>
      <c r="J6" s="260" t="str">
        <f>IF(AND(B6&lt;&gt;"",D6&lt;&gt;""),TEXT(B6,"0000")&amp;"."&amp;D6,"")</f>
        <v/>
      </c>
    </row>
    <row r="7" spans="2:10" ht="24.95" customHeight="1">
      <c r="B7" s="281"/>
      <c r="G7" s="288"/>
      <c r="J7" s="260" t="str">
        <f t="shared" ref="J7:J70" si="0">IF(AND(B7&lt;&gt;"",D7&lt;&gt;""),TEXT(B7,"0000")&amp;"."&amp;D7,"")</f>
        <v/>
      </c>
    </row>
    <row r="8" spans="2:10" ht="24.95" customHeight="1">
      <c r="B8" s="281"/>
      <c r="G8" s="288"/>
      <c r="J8" s="260" t="str">
        <f t="shared" si="0"/>
        <v/>
      </c>
    </row>
    <row r="9" spans="2:10" ht="24.95" customHeight="1">
      <c r="B9" s="281"/>
      <c r="G9" s="288"/>
      <c r="J9" s="260" t="str">
        <f t="shared" si="0"/>
        <v/>
      </c>
    </row>
    <row r="10" spans="2:10" ht="24.95" customHeight="1">
      <c r="B10" s="281"/>
      <c r="G10" s="288"/>
      <c r="J10" s="260" t="str">
        <f t="shared" si="0"/>
        <v/>
      </c>
    </row>
    <row r="11" spans="2:10" ht="24.95" customHeight="1">
      <c r="B11" s="281"/>
      <c r="G11" s="288"/>
      <c r="J11" s="260" t="str">
        <f t="shared" si="0"/>
        <v/>
      </c>
    </row>
    <row r="12" spans="2:10" ht="24.95" customHeight="1">
      <c r="B12" s="281"/>
      <c r="G12" s="288"/>
      <c r="J12" s="260" t="str">
        <f t="shared" si="0"/>
        <v/>
      </c>
    </row>
    <row r="13" spans="2:10" ht="24.95" customHeight="1">
      <c r="B13" s="281"/>
      <c r="G13" s="288"/>
      <c r="J13" s="260" t="str">
        <f t="shared" si="0"/>
        <v/>
      </c>
    </row>
    <row r="14" spans="2:10" ht="24.95" customHeight="1">
      <c r="B14" s="281"/>
      <c r="G14" s="288"/>
      <c r="J14" s="260" t="str">
        <f t="shared" si="0"/>
        <v/>
      </c>
    </row>
    <row r="15" spans="2:10" ht="24.95" customHeight="1">
      <c r="B15" s="281"/>
      <c r="G15" s="288"/>
      <c r="J15" s="260" t="str">
        <f t="shared" si="0"/>
        <v/>
      </c>
    </row>
    <row r="16" spans="2:10" ht="24.95" customHeight="1">
      <c r="B16" s="281"/>
      <c r="G16" s="288"/>
      <c r="J16" s="260" t="str">
        <f t="shared" si="0"/>
        <v/>
      </c>
    </row>
    <row r="17" spans="2:10" ht="24.95" customHeight="1">
      <c r="B17" s="281"/>
      <c r="J17" s="260" t="str">
        <f t="shared" si="0"/>
        <v/>
      </c>
    </row>
    <row r="18" spans="2:10" ht="24.95" customHeight="1">
      <c r="B18" s="281"/>
      <c r="J18" s="260" t="str">
        <f t="shared" si="0"/>
        <v/>
      </c>
    </row>
    <row r="19" spans="2:10">
      <c r="B19" s="281"/>
      <c r="F19" s="289"/>
      <c r="J19" s="260" t="str">
        <f t="shared" si="0"/>
        <v/>
      </c>
    </row>
    <row r="20" spans="2:10" ht="24.95" customHeight="1">
      <c r="B20" s="281"/>
      <c r="J20" s="260" t="str">
        <f t="shared" si="0"/>
        <v/>
      </c>
    </row>
    <row r="21" spans="2:10" ht="24.95" customHeight="1">
      <c r="B21" s="281"/>
      <c r="J21" s="260" t="str">
        <f t="shared" si="0"/>
        <v/>
      </c>
    </row>
    <row r="22" spans="2:10" ht="24.95" customHeight="1">
      <c r="B22" s="281"/>
      <c r="G22" s="288"/>
      <c r="J22" s="260" t="str">
        <f t="shared" si="0"/>
        <v/>
      </c>
    </row>
    <row r="23" spans="2:10" ht="24.95" customHeight="1">
      <c r="B23" s="281"/>
      <c r="G23" s="288"/>
      <c r="J23" s="260" t="str">
        <f t="shared" si="0"/>
        <v/>
      </c>
    </row>
    <row r="24" spans="2:10">
      <c r="B24" s="281"/>
      <c r="G24" s="288"/>
      <c r="J24" s="260" t="str">
        <f t="shared" si="0"/>
        <v/>
      </c>
    </row>
    <row r="25" spans="2:10">
      <c r="B25" s="281"/>
      <c r="J25" s="260" t="str">
        <f t="shared" si="0"/>
        <v/>
      </c>
    </row>
    <row r="26" spans="2:10">
      <c r="B26" s="281"/>
      <c r="G26" s="288"/>
      <c r="J26" s="260" t="str">
        <f t="shared" si="0"/>
        <v/>
      </c>
    </row>
    <row r="27" spans="2:10">
      <c r="B27" s="281"/>
      <c r="G27" s="288"/>
      <c r="J27" s="260" t="str">
        <f t="shared" si="0"/>
        <v/>
      </c>
    </row>
    <row r="28" spans="2:10">
      <c r="B28" s="281"/>
      <c r="J28" s="260" t="str">
        <f t="shared" si="0"/>
        <v/>
      </c>
    </row>
    <row r="29" spans="2:10">
      <c r="B29" s="281"/>
      <c r="G29" s="288"/>
      <c r="J29" s="260" t="str">
        <f t="shared" si="0"/>
        <v/>
      </c>
    </row>
    <row r="30" spans="2:10">
      <c r="B30" s="281"/>
      <c r="G30" s="288"/>
      <c r="J30" s="260" t="str">
        <f t="shared" si="0"/>
        <v/>
      </c>
    </row>
    <row r="31" spans="2:10" ht="24.95" customHeight="1">
      <c r="B31" s="281"/>
      <c r="G31" s="288"/>
      <c r="J31" s="260" t="str">
        <f t="shared" si="0"/>
        <v/>
      </c>
    </row>
    <row r="32" spans="2:10">
      <c r="B32" s="281"/>
      <c r="G32" s="288"/>
      <c r="J32" s="260" t="str">
        <f t="shared" si="0"/>
        <v/>
      </c>
    </row>
    <row r="33" spans="2:10">
      <c r="B33" s="281"/>
      <c r="G33" s="288"/>
      <c r="J33" s="260" t="str">
        <f t="shared" si="0"/>
        <v/>
      </c>
    </row>
    <row r="34" spans="2:10">
      <c r="B34" s="281"/>
      <c r="G34" s="288"/>
      <c r="J34" s="260" t="str">
        <f t="shared" si="0"/>
        <v/>
      </c>
    </row>
    <row r="35" spans="2:10">
      <c r="J35" s="260" t="str">
        <f t="shared" si="0"/>
        <v/>
      </c>
    </row>
    <row r="36" spans="2:10">
      <c r="J36" s="260" t="str">
        <f t="shared" si="0"/>
        <v/>
      </c>
    </row>
    <row r="37" spans="2:10">
      <c r="J37" s="260" t="str">
        <f t="shared" si="0"/>
        <v/>
      </c>
    </row>
    <row r="38" spans="2:10">
      <c r="J38" s="260" t="str">
        <f t="shared" si="0"/>
        <v/>
      </c>
    </row>
    <row r="39" spans="2:10">
      <c r="J39" s="260" t="str">
        <f t="shared" si="0"/>
        <v/>
      </c>
    </row>
    <row r="40" spans="2:10">
      <c r="J40" s="260" t="str">
        <f t="shared" si="0"/>
        <v/>
      </c>
    </row>
    <row r="41" spans="2:10">
      <c r="J41" s="260" t="str">
        <f t="shared" si="0"/>
        <v/>
      </c>
    </row>
    <row r="42" spans="2:10">
      <c r="J42" s="260" t="str">
        <f t="shared" si="0"/>
        <v/>
      </c>
    </row>
    <row r="43" spans="2:10">
      <c r="J43" s="260" t="str">
        <f t="shared" si="0"/>
        <v/>
      </c>
    </row>
    <row r="44" spans="2:10">
      <c r="J44" s="260" t="str">
        <f t="shared" si="0"/>
        <v/>
      </c>
    </row>
    <row r="45" spans="2:10">
      <c r="J45" s="260" t="str">
        <f t="shared" si="0"/>
        <v/>
      </c>
    </row>
    <row r="46" spans="2:10">
      <c r="J46" s="260" t="str">
        <f t="shared" si="0"/>
        <v/>
      </c>
    </row>
    <row r="47" spans="2:10">
      <c r="J47" s="260" t="str">
        <f t="shared" si="0"/>
        <v/>
      </c>
    </row>
    <row r="48" spans="2:10">
      <c r="J48" s="260" t="str">
        <f t="shared" si="0"/>
        <v/>
      </c>
    </row>
    <row r="49" spans="10:10">
      <c r="J49" s="260" t="str">
        <f t="shared" si="0"/>
        <v/>
      </c>
    </row>
    <row r="50" spans="10:10">
      <c r="J50" s="260" t="str">
        <f t="shared" si="0"/>
        <v/>
      </c>
    </row>
    <row r="51" spans="10:10">
      <c r="J51" s="260" t="str">
        <f t="shared" si="0"/>
        <v/>
      </c>
    </row>
    <row r="52" spans="10:10">
      <c r="J52" s="260" t="str">
        <f t="shared" si="0"/>
        <v/>
      </c>
    </row>
    <row r="53" spans="10:10">
      <c r="J53" s="260" t="str">
        <f t="shared" si="0"/>
        <v/>
      </c>
    </row>
    <row r="54" spans="10:10">
      <c r="J54" s="260" t="str">
        <f t="shared" si="0"/>
        <v/>
      </c>
    </row>
    <row r="55" spans="10:10">
      <c r="J55" s="260" t="str">
        <f t="shared" si="0"/>
        <v/>
      </c>
    </row>
    <row r="56" spans="10:10">
      <c r="J56" s="260" t="str">
        <f t="shared" si="0"/>
        <v/>
      </c>
    </row>
    <row r="57" spans="10:10">
      <c r="J57" s="260" t="str">
        <f t="shared" si="0"/>
        <v/>
      </c>
    </row>
    <row r="58" spans="10:10">
      <c r="J58" s="260" t="str">
        <f t="shared" si="0"/>
        <v/>
      </c>
    </row>
    <row r="59" spans="10:10">
      <c r="J59" s="260" t="str">
        <f t="shared" si="0"/>
        <v/>
      </c>
    </row>
    <row r="60" spans="10:10">
      <c r="J60" s="260" t="str">
        <f t="shared" si="0"/>
        <v/>
      </c>
    </row>
    <row r="61" spans="10:10">
      <c r="J61" s="260" t="str">
        <f t="shared" si="0"/>
        <v/>
      </c>
    </row>
    <row r="62" spans="10:10">
      <c r="J62" s="260" t="str">
        <f t="shared" si="0"/>
        <v/>
      </c>
    </row>
    <row r="63" spans="10:10">
      <c r="J63" s="260" t="str">
        <f t="shared" si="0"/>
        <v/>
      </c>
    </row>
    <row r="64" spans="10:10">
      <c r="J64" s="260" t="str">
        <f t="shared" si="0"/>
        <v/>
      </c>
    </row>
    <row r="65" spans="10:10">
      <c r="J65" s="260" t="str">
        <f t="shared" si="0"/>
        <v/>
      </c>
    </row>
    <row r="66" spans="10:10">
      <c r="J66" s="260" t="str">
        <f t="shared" si="0"/>
        <v/>
      </c>
    </row>
    <row r="67" spans="10:10">
      <c r="J67" s="260" t="str">
        <f t="shared" si="0"/>
        <v/>
      </c>
    </row>
    <row r="68" spans="10:10">
      <c r="J68" s="260" t="str">
        <f t="shared" si="0"/>
        <v/>
      </c>
    </row>
    <row r="69" spans="10:10">
      <c r="J69" s="260" t="str">
        <f t="shared" si="0"/>
        <v/>
      </c>
    </row>
    <row r="70" spans="10:10">
      <c r="J70" s="260" t="str">
        <f t="shared" si="0"/>
        <v/>
      </c>
    </row>
    <row r="71" spans="10:10">
      <c r="J71" s="260" t="str">
        <f t="shared" ref="J71:J100" si="1">IF(AND(B71&lt;&gt;"",D71&lt;&gt;""),TEXT(B71,"0000")&amp;"."&amp;D71,"")</f>
        <v/>
      </c>
    </row>
    <row r="72" spans="10:10">
      <c r="J72" s="260" t="str">
        <f t="shared" si="1"/>
        <v/>
      </c>
    </row>
    <row r="73" spans="10:10">
      <c r="J73" s="260" t="str">
        <f t="shared" si="1"/>
        <v/>
      </c>
    </row>
    <row r="74" spans="10:10">
      <c r="J74" s="260" t="str">
        <f t="shared" si="1"/>
        <v/>
      </c>
    </row>
    <row r="75" spans="10:10">
      <c r="J75" s="260" t="str">
        <f t="shared" si="1"/>
        <v/>
      </c>
    </row>
    <row r="76" spans="10:10">
      <c r="J76" s="260" t="str">
        <f t="shared" si="1"/>
        <v/>
      </c>
    </row>
    <row r="77" spans="10:10">
      <c r="J77" s="260" t="str">
        <f t="shared" si="1"/>
        <v/>
      </c>
    </row>
    <row r="78" spans="10:10">
      <c r="J78" s="260" t="str">
        <f t="shared" si="1"/>
        <v/>
      </c>
    </row>
    <row r="79" spans="10:10">
      <c r="J79" s="260" t="str">
        <f t="shared" si="1"/>
        <v/>
      </c>
    </row>
    <row r="80" spans="10:10">
      <c r="J80" s="260" t="str">
        <f t="shared" si="1"/>
        <v/>
      </c>
    </row>
    <row r="81" spans="10:10">
      <c r="J81" s="260" t="str">
        <f t="shared" si="1"/>
        <v/>
      </c>
    </row>
    <row r="82" spans="10:10">
      <c r="J82" s="260" t="str">
        <f t="shared" si="1"/>
        <v/>
      </c>
    </row>
    <row r="83" spans="10:10">
      <c r="J83" s="260" t="str">
        <f t="shared" si="1"/>
        <v/>
      </c>
    </row>
    <row r="84" spans="10:10">
      <c r="J84" s="260" t="str">
        <f t="shared" si="1"/>
        <v/>
      </c>
    </row>
    <row r="85" spans="10:10">
      <c r="J85" s="260" t="str">
        <f t="shared" si="1"/>
        <v/>
      </c>
    </row>
    <row r="86" spans="10:10">
      <c r="J86" s="260" t="str">
        <f t="shared" si="1"/>
        <v/>
      </c>
    </row>
    <row r="87" spans="10:10">
      <c r="J87" s="260" t="str">
        <f t="shared" si="1"/>
        <v/>
      </c>
    </row>
    <row r="88" spans="10:10">
      <c r="J88" s="260" t="str">
        <f t="shared" si="1"/>
        <v/>
      </c>
    </row>
    <row r="89" spans="10:10">
      <c r="J89" s="260" t="str">
        <f t="shared" si="1"/>
        <v/>
      </c>
    </row>
    <row r="90" spans="10:10">
      <c r="J90" s="260" t="str">
        <f t="shared" si="1"/>
        <v/>
      </c>
    </row>
    <row r="91" spans="10:10">
      <c r="J91" s="260" t="str">
        <f t="shared" si="1"/>
        <v/>
      </c>
    </row>
    <row r="92" spans="10:10">
      <c r="J92" s="260" t="str">
        <f t="shared" si="1"/>
        <v/>
      </c>
    </row>
    <row r="93" spans="10:10">
      <c r="J93" s="260" t="str">
        <f t="shared" si="1"/>
        <v/>
      </c>
    </row>
    <row r="94" spans="10:10">
      <c r="J94" s="260" t="str">
        <f t="shared" si="1"/>
        <v/>
      </c>
    </row>
    <row r="95" spans="10:10">
      <c r="J95" s="260" t="str">
        <f t="shared" si="1"/>
        <v/>
      </c>
    </row>
    <row r="96" spans="10:10">
      <c r="J96" s="260" t="str">
        <f t="shared" si="1"/>
        <v/>
      </c>
    </row>
    <row r="97" spans="2:10">
      <c r="J97" s="260" t="str">
        <f t="shared" si="1"/>
        <v/>
      </c>
    </row>
    <row r="98" spans="2:10">
      <c r="J98" s="260" t="str">
        <f t="shared" si="1"/>
        <v/>
      </c>
    </row>
    <row r="99" spans="2:10">
      <c r="J99" s="260" t="str">
        <f t="shared" si="1"/>
        <v/>
      </c>
    </row>
    <row r="100" spans="2:10">
      <c r="J100" s="260" t="str">
        <f t="shared" si="1"/>
        <v/>
      </c>
    </row>
    <row r="101" spans="2:10" s="295" customFormat="1">
      <c r="B101" s="996"/>
      <c r="C101" s="290"/>
      <c r="D101" s="291"/>
      <c r="E101" s="292"/>
      <c r="F101" s="293"/>
      <c r="G101" s="292"/>
      <c r="H101" s="291"/>
      <c r="I101" s="291"/>
      <c r="J101" s="294" t="str">
        <f>B101&amp;"."&amp;D101</f>
        <v>.</v>
      </c>
    </row>
    <row r="102" spans="2:10">
      <c r="J102" s="260" t="str">
        <f>B102&amp;"."&amp;D102</f>
        <v>.</v>
      </c>
    </row>
    <row r="103" spans="2:10">
      <c r="J103" s="260" t="str">
        <f>B103&amp;"."&amp;D103</f>
        <v>.</v>
      </c>
    </row>
    <row r="104" spans="2:10">
      <c r="J104" s="260" t="str">
        <f>B104&amp;"."&amp;D104</f>
        <v>.</v>
      </c>
    </row>
  </sheetData>
  <mergeCells count="1">
    <mergeCell ref="C2:I2"/>
  </mergeCells>
  <phoneticPr fontId="37" type="noConversion"/>
  <pageMargins left="0.19685039370078741" right="0.19685039370078741" top="0.19685039370078741" bottom="0.39370078740157483" header="0.19685039370078741" footer="0.19685039370078741"/>
  <pageSetup paperSize="9" scale="85" orientation="landscape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819" r:id="rId4" name="Button 3">
              <controlPr defaultSize="0" print="0" autoFill="0" autoPict="0" macro="[0]!goToHome" altText="ទំព័រដើម">
                <anchor moveWithCells="1" sizeWithCells="1">
                  <from>
                    <xdr:col>9</xdr:col>
                    <xdr:colOff>333375</xdr:colOff>
                    <xdr:row>1</xdr:row>
                    <xdr:rowOff>523875</xdr:rowOff>
                  </from>
                  <to>
                    <xdr:col>9</xdr:col>
                    <xdr:colOff>1571625</xdr:colOff>
                    <xdr:row>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152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153</v>
      </c>
      <c r="L3" s="14">
        <v>0</v>
      </c>
      <c r="M3" s="14">
        <v>0</v>
      </c>
      <c r="N3" s="14">
        <v>9</v>
      </c>
      <c r="O3" s="13" t="s">
        <v>154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155</v>
      </c>
      <c r="P4" s="1812"/>
      <c r="Q4" s="1812"/>
      <c r="R4" s="1812"/>
      <c r="S4" s="1812"/>
      <c r="T4" s="1812"/>
      <c r="U4" s="1812"/>
      <c r="V4" s="1812"/>
      <c r="W4" s="1812"/>
      <c r="X4" s="1812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1816" t="str">
        <f ca="1">""&amp;I9&amp;""</f>
        <v>STCI21-0001</v>
      </c>
      <c r="I6" s="1816"/>
      <c r="AB6" s="37" t="str">
        <f>MID(K13,8,8)</f>
        <v/>
      </c>
      <c r="AD6" s="47"/>
    </row>
    <row r="7" spans="1:30" ht="13.5" customHeight="1">
      <c r="A7" s="12"/>
      <c r="E7" s="45"/>
      <c r="H7" s="1816"/>
      <c r="I7" s="1816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623"/>
      <c r="C9" s="1623"/>
      <c r="E9" s="53"/>
      <c r="F9" s="54"/>
      <c r="H9" s="104" t="s">
        <v>156</v>
      </c>
      <c r="I9" s="1820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157</v>
      </c>
      <c r="I10" s="1821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1822" t="s">
        <v>158</v>
      </c>
      <c r="C11" s="1822"/>
      <c r="E11" s="53"/>
      <c r="F11" s="54"/>
      <c r="H11" s="105" t="s">
        <v>159</v>
      </c>
      <c r="I11" s="80">
        <f>N11</f>
        <v>44308</v>
      </c>
      <c r="K11" s="3" t="s">
        <v>160</v>
      </c>
      <c r="L11" s="82"/>
      <c r="M11" s="82"/>
      <c r="N11" s="1817">
        <v>44308</v>
      </c>
      <c r="O11" s="1817"/>
      <c r="P11" s="1817"/>
      <c r="Q11" s="1817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1813"/>
      <c r="C12" s="1814"/>
      <c r="D12" s="1815"/>
      <c r="E12" s="53"/>
      <c r="F12" s="54"/>
      <c r="H12" s="125" t="s">
        <v>160</v>
      </c>
      <c r="I12" s="57"/>
      <c r="K12" t="s">
        <v>161</v>
      </c>
      <c r="N12" s="1818">
        <v>4048</v>
      </c>
      <c r="O12" s="1818"/>
      <c r="P12" s="1818"/>
      <c r="Q12" s="1818"/>
      <c r="S12" s="84" t="s">
        <v>162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163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164</v>
      </c>
    </row>
    <row r="15" spans="1:30" ht="26.25" thickBot="1">
      <c r="A15" s="58"/>
      <c r="B15" s="106" t="s">
        <v>165</v>
      </c>
      <c r="C15" s="61"/>
      <c r="D15" s="1823"/>
      <c r="E15" s="1823"/>
      <c r="F15" s="1823"/>
      <c r="G15" s="1823"/>
      <c r="H15" s="1823"/>
      <c r="I15" s="21"/>
      <c r="J15" s="58"/>
      <c r="K15" s="13"/>
      <c r="L15" s="1830" t="e">
        <f>IF(Customer_TIN_Area="","",Customer_TIN_Area)</f>
        <v>#NAME?</v>
      </c>
      <c r="M15" s="1831"/>
      <c r="N15" s="1831"/>
      <c r="O15" s="1831"/>
      <c r="P15" s="1831"/>
      <c r="Q15" s="1831"/>
      <c r="R15" s="1831"/>
      <c r="S15" s="1831"/>
      <c r="T15" s="1831"/>
      <c r="U15" s="1831"/>
      <c r="V15" s="1831"/>
      <c r="W15" s="1831"/>
      <c r="X15" s="1832"/>
    </row>
    <row r="16" spans="1:30">
      <c r="A16" s="58"/>
      <c r="B16" s="18" t="s">
        <v>166</v>
      </c>
      <c r="C16" s="61"/>
      <c r="D16" s="1824"/>
      <c r="E16" s="1824"/>
      <c r="F16" s="1824"/>
      <c r="G16" s="1824"/>
      <c r="H16" s="1824"/>
      <c r="I16" s="21"/>
      <c r="J16" s="62" t="s">
        <v>167</v>
      </c>
      <c r="K16" s="63" t="s">
        <v>168</v>
      </c>
      <c r="L16" s="37" t="s">
        <v>169</v>
      </c>
      <c r="M16" s="37" t="s">
        <v>169</v>
      </c>
      <c r="N16" s="37" t="s">
        <v>169</v>
      </c>
      <c r="O16" s="37"/>
      <c r="P16" s="37" t="s">
        <v>169</v>
      </c>
      <c r="Q16" s="37" t="s">
        <v>169</v>
      </c>
      <c r="R16" s="37" t="s">
        <v>169</v>
      </c>
      <c r="S16" s="37" t="s">
        <v>169</v>
      </c>
      <c r="T16" s="37" t="s">
        <v>169</v>
      </c>
      <c r="U16" s="37" t="s">
        <v>169</v>
      </c>
      <c r="V16" s="37" t="s">
        <v>169</v>
      </c>
      <c r="W16" s="37" t="s">
        <v>169</v>
      </c>
      <c r="X16" s="37" t="s">
        <v>169</v>
      </c>
    </row>
    <row r="17" spans="1:29">
      <c r="A17" s="58"/>
      <c r="B17" s="107" t="s">
        <v>170</v>
      </c>
      <c r="C17" s="61"/>
      <c r="D17" s="1825"/>
      <c r="E17" s="1826"/>
      <c r="F17" s="1826"/>
      <c r="G17" s="1826"/>
      <c r="H17" s="1826"/>
      <c r="I17" s="21"/>
      <c r="J17" s="58"/>
      <c r="L17" s="37"/>
      <c r="M17" s="37"/>
      <c r="O17" s="38" t="s">
        <v>171</v>
      </c>
      <c r="P17" s="1833"/>
      <c r="Q17" s="1833"/>
      <c r="R17" s="1833"/>
      <c r="S17" s="1833"/>
      <c r="T17" s="1833"/>
      <c r="U17" s="1833"/>
      <c r="V17" s="1833"/>
      <c r="W17" s="1833"/>
      <c r="X17" s="1833"/>
    </row>
    <row r="18" spans="1:29">
      <c r="A18" s="58"/>
      <c r="B18" s="18" t="s">
        <v>172</v>
      </c>
      <c r="C18" s="61"/>
      <c r="D18" s="1827"/>
      <c r="E18" s="1827"/>
      <c r="F18" s="1827"/>
      <c r="G18" s="1827"/>
      <c r="H18" s="1827"/>
      <c r="I18" s="21"/>
      <c r="J18" s="58"/>
      <c r="K18" s="58"/>
    </row>
    <row r="19" spans="1:29">
      <c r="A19" s="5"/>
      <c r="B19" s="107" t="s">
        <v>173</v>
      </c>
      <c r="D19" s="44"/>
      <c r="E19" s="108" t="s">
        <v>174</v>
      </c>
      <c r="F19" s="1828"/>
      <c r="G19" s="1826"/>
      <c r="H19" s="1826"/>
      <c r="I19" s="21"/>
      <c r="J19" s="5"/>
      <c r="K19" s="5"/>
    </row>
    <row r="20" spans="1:29">
      <c r="A20" s="5"/>
      <c r="B20" s="25" t="s">
        <v>175</v>
      </c>
      <c r="D20" s="26"/>
      <c r="E20" s="35" t="s">
        <v>176</v>
      </c>
      <c r="F20" s="1828"/>
      <c r="G20" s="1826"/>
      <c r="H20" s="1826"/>
      <c r="I20" s="16"/>
      <c r="J20" s="5"/>
      <c r="K20" s="5"/>
    </row>
    <row r="21" spans="1:29" ht="32.85" customHeight="1" thickBot="1">
      <c r="A21" s="5"/>
      <c r="B21" s="1848" t="s">
        <v>177</v>
      </c>
      <c r="C21" s="1849"/>
      <c r="D21" s="1829" t="e">
        <f>L15</f>
        <v>#NAME?</v>
      </c>
      <c r="E21" s="1829"/>
      <c r="F21" s="1829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59</v>
      </c>
      <c r="C23" s="110" t="s">
        <v>178</v>
      </c>
      <c r="D23" s="111"/>
      <c r="E23" s="112" t="s">
        <v>179</v>
      </c>
      <c r="F23" s="109" t="s">
        <v>180</v>
      </c>
      <c r="G23" s="109" t="s">
        <v>127</v>
      </c>
      <c r="H23" s="113" t="s">
        <v>181</v>
      </c>
      <c r="I23" s="109" t="s">
        <v>181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95</v>
      </c>
      <c r="C24" s="27" t="s">
        <v>103</v>
      </c>
      <c r="D24" s="94"/>
      <c r="E24" s="28" t="s">
        <v>21</v>
      </c>
      <c r="F24" s="29" t="s">
        <v>93</v>
      </c>
      <c r="G24" s="30" t="s">
        <v>182</v>
      </c>
      <c r="H24" s="31" t="s">
        <v>183</v>
      </c>
      <c r="I24" s="31" t="s">
        <v>184</v>
      </c>
    </row>
    <row r="25" spans="1:29" s="34" customFormat="1">
      <c r="B25" s="95">
        <f>IF(C25="","",1)</f>
        <v>1</v>
      </c>
      <c r="C25" s="1819" t="s">
        <v>185</v>
      </c>
      <c r="D25" s="1819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1850" t="s">
        <v>186</v>
      </c>
      <c r="D26" s="1850"/>
      <c r="E26" s="85" t="s">
        <v>187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1851"/>
      <c r="D27" s="1851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1851"/>
      <c r="D28" s="1851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1851"/>
      <c r="D29" s="1851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1840"/>
      <c r="D30" s="1840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1840"/>
      <c r="D31" s="1840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1840"/>
      <c r="D32" s="1840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840"/>
      <c r="D33" s="1840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840"/>
      <c r="D34" s="1840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840"/>
      <c r="D35" s="1840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1845"/>
      <c r="D36" s="1845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1846" t="s">
        <v>188</v>
      </c>
      <c r="C37" s="1847"/>
      <c r="D37" s="71" t="str">
        <f>SpellNumber(H37)</f>
        <v>Fifty Two US Dollars and Eighty  Cents</v>
      </c>
      <c r="E37" s="22"/>
      <c r="F37" s="19"/>
      <c r="G37" s="114" t="s">
        <v>189</v>
      </c>
      <c r="H37" s="1841">
        <f>SUM(H25:H36)</f>
        <v>52.8</v>
      </c>
      <c r="I37" s="1843">
        <f>SUM(I25:I36)</f>
        <v>213734.39999999999</v>
      </c>
    </row>
    <row r="38" spans="2:29" ht="24" thickBot="1">
      <c r="B38" s="117" t="s">
        <v>190</v>
      </c>
      <c r="C38" s="9"/>
      <c r="D38" s="43">
        <f>N12</f>
        <v>4048</v>
      </c>
      <c r="E38" s="72"/>
      <c r="F38"/>
      <c r="G38" s="115" t="s">
        <v>191</v>
      </c>
      <c r="H38" s="1842"/>
      <c r="I38" s="1844"/>
    </row>
    <row r="39" spans="2:29" ht="24" thickBot="1">
      <c r="B39" s="79" t="s">
        <v>192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1834" t="s">
        <v>193</v>
      </c>
      <c r="C44" s="1835"/>
      <c r="D44" s="1835"/>
      <c r="E44" s="1835"/>
      <c r="F44" s="1835"/>
      <c r="G44" s="1835"/>
      <c r="H44" s="1835"/>
      <c r="I44" s="1836"/>
    </row>
    <row r="45" spans="2:29" ht="24" thickBot="1">
      <c r="B45" s="1837" t="s">
        <v>194</v>
      </c>
      <c r="C45" s="1838"/>
      <c r="D45" s="1838"/>
      <c r="E45" s="1838"/>
      <c r="F45" s="1838"/>
      <c r="G45" s="1838"/>
      <c r="H45" s="1838"/>
      <c r="I45" s="1839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624"/>
      <c r="C48" s="1624"/>
      <c r="D48" s="1624"/>
      <c r="E48" s="1624"/>
      <c r="F48" s="6"/>
      <c r="G48" s="1624"/>
      <c r="H48" s="1624"/>
      <c r="I48" s="1624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1852" t="s">
        <v>2711</v>
      </c>
      <c r="C2" s="1852"/>
      <c r="D2" s="1852"/>
      <c r="E2" s="1852"/>
      <c r="F2" s="1852"/>
      <c r="G2" s="1852"/>
      <c r="H2" s="1852"/>
      <c r="I2" s="1852"/>
      <c r="AB2" s="37" t="str">
        <f ca="1">MID(K12,8,8)</f>
        <v/>
      </c>
      <c r="AD2" s="47"/>
    </row>
    <row r="3" spans="1:30" ht="29.25" thickBot="1">
      <c r="A3" s="36"/>
      <c r="B3" s="1853" t="e">
        <f>company_name_en</f>
        <v>#NAME?</v>
      </c>
      <c r="C3" s="1853"/>
      <c r="D3" s="1853"/>
      <c r="E3" s="1853"/>
      <c r="F3" s="1853"/>
      <c r="G3" s="1853"/>
      <c r="H3" s="1853"/>
      <c r="I3" s="1853"/>
      <c r="AD3" s="47"/>
    </row>
    <row r="4" spans="1:30" ht="15.75" thickBot="1">
      <c r="A4" s="36"/>
      <c r="B4" s="1854" t="s">
        <v>2710</v>
      </c>
      <c r="C4" s="1854"/>
      <c r="D4" s="1854"/>
      <c r="E4" s="1854"/>
      <c r="F4" s="1854"/>
      <c r="G4" s="1854"/>
      <c r="H4" s="1854"/>
      <c r="I4" s="1854"/>
      <c r="J4" s="46" t="s">
        <v>195</v>
      </c>
      <c r="K4" s="14" t="s">
        <v>153</v>
      </c>
      <c r="L4" s="14">
        <v>0</v>
      </c>
      <c r="M4" s="14">
        <v>0</v>
      </c>
      <c r="N4" s="14">
        <v>9</v>
      </c>
      <c r="O4" s="13" t="s">
        <v>154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1854" t="e">
        <f>Address_ENG</f>
        <v>#NAME?</v>
      </c>
      <c r="C5" s="1854"/>
      <c r="D5" s="1854"/>
      <c r="E5" s="1854"/>
      <c r="F5" s="1854"/>
      <c r="G5" s="1854"/>
      <c r="H5" s="1854"/>
      <c r="I5" s="1854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1854" t="e">
        <f>c_phone_email</f>
        <v>#NAME?</v>
      </c>
      <c r="C6" s="1854"/>
      <c r="D6" s="1854"/>
      <c r="E6" s="1854"/>
      <c r="F6" s="1854"/>
      <c r="G6" s="1854"/>
      <c r="H6" s="1854"/>
      <c r="I6" s="1854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1855" t="s">
        <v>196</v>
      </c>
      <c r="C7" s="1855"/>
      <c r="D7" s="1855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1816" t="str">
        <f ca="1">""&amp;I12&amp;""</f>
        <v>STCI00-0003</v>
      </c>
      <c r="I9" s="1816"/>
      <c r="AB9" s="37" t="str">
        <f>MID(K16,8,8)</f>
        <v/>
      </c>
      <c r="AD9" s="47"/>
    </row>
    <row r="10" spans="1:30" ht="21.6" customHeight="1">
      <c r="A10" s="12"/>
      <c r="E10" s="45"/>
      <c r="H10" s="1816"/>
      <c r="I10" s="1816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623"/>
      <c r="C12" s="1623"/>
      <c r="E12" s="53"/>
      <c r="F12" s="54"/>
      <c r="H12" s="104" t="s">
        <v>156</v>
      </c>
      <c r="I12" s="1820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111</v>
      </c>
      <c r="I13" s="1821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1822" t="s">
        <v>158</v>
      </c>
      <c r="C14" s="1822"/>
      <c r="E14" s="53"/>
      <c r="F14" s="54"/>
      <c r="H14" s="105" t="s">
        <v>159</v>
      </c>
      <c r="I14" s="80">
        <f>N14</f>
        <v>0</v>
      </c>
      <c r="K14" s="3" t="s">
        <v>160</v>
      </c>
      <c r="L14" s="82"/>
      <c r="M14" s="82"/>
      <c r="N14" s="1817"/>
      <c r="O14" s="1817"/>
      <c r="P14" s="1817"/>
      <c r="Q14" s="1817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1813"/>
      <c r="C15" s="1814"/>
      <c r="D15" s="1815"/>
      <c r="E15" s="53"/>
      <c r="F15" s="54"/>
      <c r="H15" s="56" t="s">
        <v>96</v>
      </c>
      <c r="I15" s="57"/>
      <c r="K15" t="s">
        <v>161</v>
      </c>
      <c r="N15" s="1818"/>
      <c r="O15" s="1818"/>
      <c r="P15" s="1818"/>
      <c r="Q15" s="1818"/>
      <c r="S15" s="84" t="s">
        <v>162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197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164</v>
      </c>
    </row>
    <row r="18" spans="1:29" ht="26.25" thickBot="1">
      <c r="A18" s="58"/>
      <c r="B18" s="106" t="s">
        <v>165</v>
      </c>
      <c r="C18" s="61"/>
      <c r="D18" s="1823"/>
      <c r="E18" s="1823"/>
      <c r="F18" s="1823"/>
      <c r="G18" s="1823"/>
      <c r="H18" s="1823"/>
      <c r="I18" s="21"/>
      <c r="J18" s="58"/>
      <c r="K18" s="13"/>
      <c r="L18" s="1830" t="str">
        <f>IF(Customer_TIN_Area="","",Customer_TIN_Area)</f>
        <v/>
      </c>
      <c r="M18" s="1831"/>
      <c r="N18" s="1831"/>
      <c r="O18" s="1831"/>
      <c r="P18" s="1831"/>
      <c r="Q18" s="1831"/>
      <c r="R18" s="1831"/>
      <c r="S18" s="1831"/>
      <c r="T18" s="1831"/>
      <c r="U18" s="1831"/>
      <c r="V18" s="1831"/>
      <c r="W18" s="1831"/>
      <c r="X18" s="1832"/>
    </row>
    <row r="19" spans="1:29">
      <c r="A19" s="58"/>
      <c r="B19" s="18" t="s">
        <v>198</v>
      </c>
      <c r="C19" s="61"/>
      <c r="D19" s="1824"/>
      <c r="E19" s="1824"/>
      <c r="F19" s="1824"/>
      <c r="G19" s="1824"/>
      <c r="H19" s="1824"/>
      <c r="I19" s="21"/>
      <c r="J19" s="62" t="s">
        <v>167</v>
      </c>
      <c r="K19" s="63" t="s">
        <v>168</v>
      </c>
      <c r="L19" s="37" t="s">
        <v>169</v>
      </c>
      <c r="M19" s="37" t="s">
        <v>169</v>
      </c>
      <c r="N19" s="37" t="s">
        <v>169</v>
      </c>
      <c r="O19" s="37"/>
      <c r="P19" s="37" t="s">
        <v>169</v>
      </c>
      <c r="Q19" s="37" t="s">
        <v>169</v>
      </c>
      <c r="R19" s="37" t="s">
        <v>169</v>
      </c>
      <c r="S19" s="37" t="s">
        <v>169</v>
      </c>
      <c r="T19" s="37" t="s">
        <v>169</v>
      </c>
      <c r="U19" s="37" t="s">
        <v>169</v>
      </c>
      <c r="V19" s="37" t="s">
        <v>169</v>
      </c>
      <c r="W19" s="37" t="s">
        <v>169</v>
      </c>
      <c r="X19" s="37" t="s">
        <v>169</v>
      </c>
    </row>
    <row r="20" spans="1:29">
      <c r="A20" s="58"/>
      <c r="B20" s="107" t="s">
        <v>170</v>
      </c>
      <c r="C20" s="61"/>
      <c r="D20" s="1825"/>
      <c r="E20" s="1826"/>
      <c r="F20" s="1826"/>
      <c r="G20" s="1826"/>
      <c r="H20" s="1826"/>
      <c r="I20" s="21"/>
      <c r="J20" s="58"/>
      <c r="L20" s="37"/>
      <c r="M20" s="37"/>
      <c r="O20" s="38" t="s">
        <v>171</v>
      </c>
      <c r="P20" s="1833"/>
      <c r="Q20" s="1833"/>
      <c r="R20" s="1833"/>
      <c r="S20" s="1833"/>
      <c r="T20" s="1833"/>
      <c r="U20" s="1833"/>
      <c r="V20" s="1833"/>
      <c r="W20" s="1833"/>
      <c r="X20" s="1833"/>
    </row>
    <row r="21" spans="1:29">
      <c r="A21" s="58"/>
      <c r="B21" s="18" t="s">
        <v>30</v>
      </c>
      <c r="C21" s="61"/>
      <c r="D21" s="1827"/>
      <c r="E21" s="1827"/>
      <c r="F21" s="1827"/>
      <c r="G21" s="1827"/>
      <c r="H21" s="1827"/>
      <c r="I21" s="21"/>
      <c r="J21" s="58"/>
      <c r="K21" s="58"/>
    </row>
    <row r="22" spans="1:29">
      <c r="A22" s="5"/>
      <c r="B22" s="107" t="s">
        <v>173</v>
      </c>
      <c r="D22" s="44"/>
      <c r="E22" s="108" t="s">
        <v>174</v>
      </c>
      <c r="F22" s="1828"/>
      <c r="G22" s="1826"/>
      <c r="H22" s="1826"/>
      <c r="I22" s="21"/>
      <c r="J22" s="5"/>
      <c r="K22" s="5"/>
    </row>
    <row r="23" spans="1:29">
      <c r="A23" s="5"/>
      <c r="B23" s="25" t="s">
        <v>199</v>
      </c>
      <c r="D23" s="26"/>
      <c r="E23" s="35" t="s">
        <v>176</v>
      </c>
      <c r="F23" s="1828"/>
      <c r="G23" s="1826"/>
      <c r="H23" s="1826"/>
      <c r="I23" s="16"/>
      <c r="J23" s="5"/>
      <c r="K23" s="5"/>
    </row>
    <row r="24" spans="1:29" ht="32.85" customHeight="1" thickBot="1">
      <c r="A24" s="5"/>
      <c r="B24" s="1848" t="s">
        <v>200</v>
      </c>
      <c r="C24" s="1849"/>
      <c r="D24" s="1829" t="str">
        <f>L18</f>
        <v/>
      </c>
      <c r="E24" s="1829"/>
      <c r="F24" s="1829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59</v>
      </c>
      <c r="C26" s="110" t="s">
        <v>178</v>
      </c>
      <c r="D26" s="111"/>
      <c r="E26" s="112" t="s">
        <v>179</v>
      </c>
      <c r="F26" s="109" t="s">
        <v>180</v>
      </c>
      <c r="G26" s="109" t="s">
        <v>127</v>
      </c>
      <c r="H26" s="113" t="s">
        <v>181</v>
      </c>
      <c r="I26" s="109" t="s">
        <v>181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95</v>
      </c>
      <c r="C27" s="27" t="s">
        <v>103</v>
      </c>
      <c r="D27" s="94"/>
      <c r="E27" s="28" t="s">
        <v>21</v>
      </c>
      <c r="F27" s="29" t="s">
        <v>93</v>
      </c>
      <c r="G27" s="30" t="s">
        <v>182</v>
      </c>
      <c r="H27" s="31" t="s">
        <v>183</v>
      </c>
      <c r="I27" s="31" t="s">
        <v>184</v>
      </c>
    </row>
    <row r="28" spans="1:29" s="34" customFormat="1">
      <c r="B28" s="120" t="str">
        <f>IF(C28="","",1)</f>
        <v/>
      </c>
      <c r="C28" s="1819"/>
      <c r="D28" s="1819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1850"/>
      <c r="D29" s="1850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1862"/>
      <c r="D30" s="1862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1850"/>
      <c r="D31" s="1850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1851"/>
      <c r="D32" s="1851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840"/>
      <c r="D33" s="1840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840"/>
      <c r="D34" s="1840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840"/>
      <c r="D35" s="1840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1840"/>
      <c r="D36" s="1840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1840"/>
      <c r="D37" s="1840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1840"/>
      <c r="D38" s="1840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1845"/>
      <c r="D39" s="1845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1846" t="s">
        <v>188</v>
      </c>
      <c r="C40" s="1847"/>
      <c r="D40" s="71" t="str">
        <f>SpellNumber(H40)</f>
        <v>Zero US Dollars and Zero Cents</v>
      </c>
      <c r="E40" s="22"/>
      <c r="F40" s="19"/>
      <c r="G40" s="114" t="s">
        <v>189</v>
      </c>
      <c r="H40" s="1841">
        <f>SUM(H28:H39)</f>
        <v>0</v>
      </c>
      <c r="I40" s="1843">
        <f>SUM(I28:I39)</f>
        <v>0</v>
      </c>
    </row>
    <row r="41" spans="2:29" ht="24" thickBot="1">
      <c r="B41" s="117" t="s">
        <v>190</v>
      </c>
      <c r="C41" s="9"/>
      <c r="D41" s="43">
        <f>N15</f>
        <v>0</v>
      </c>
      <c r="E41" s="72"/>
      <c r="F41"/>
      <c r="G41" s="115" t="s">
        <v>201</v>
      </c>
      <c r="H41" s="1842"/>
      <c r="I41" s="1844"/>
    </row>
    <row r="42" spans="2:29" ht="24" thickBot="1">
      <c r="B42" s="79" t="s">
        <v>192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1856" t="s">
        <v>202</v>
      </c>
      <c r="C47" s="1857"/>
      <c r="D47" s="1857"/>
      <c r="E47" s="1857"/>
      <c r="F47" s="1857"/>
      <c r="G47" s="1857"/>
      <c r="H47" s="1857"/>
      <c r="I47" s="1858"/>
    </row>
    <row r="48" spans="2:29" ht="24" thickBot="1">
      <c r="B48" s="1859" t="s">
        <v>203</v>
      </c>
      <c r="C48" s="1860"/>
      <c r="D48" s="1860"/>
      <c r="E48" s="1860"/>
      <c r="F48" s="1860"/>
      <c r="G48" s="1860"/>
      <c r="H48" s="1860"/>
      <c r="I48" s="1861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624"/>
      <c r="C51" s="1624"/>
      <c r="D51" s="1624"/>
      <c r="E51" s="1624"/>
      <c r="F51" s="6"/>
      <c r="G51" s="1624"/>
      <c r="H51" s="1624"/>
      <c r="I51" s="1624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B1:M7"/>
  <sheetViews>
    <sheetView showGridLines="0" zoomScale="90" zoomScaleNormal="90" workbookViewId="0">
      <selection activeCell="M6" sqref="M6"/>
    </sheetView>
  </sheetViews>
  <sheetFormatPr defaultRowHeight="15"/>
  <cols>
    <col min="3" max="5" width="39.5703125" bestFit="1" customWidth="1"/>
    <col min="6" max="6" width="3.28515625" customWidth="1"/>
    <col min="7" max="7" width="6" bestFit="1" customWidth="1"/>
    <col min="8" max="8" width="1.28515625" customWidth="1"/>
    <col min="9" max="9" width="11.85546875" bestFit="1" customWidth="1"/>
    <col min="13" max="15" width="39.85546875" bestFit="1" customWidth="1"/>
  </cols>
  <sheetData>
    <row r="1" spans="2:13" ht="24.95" customHeight="1">
      <c r="B1" s="686" t="s">
        <v>11</v>
      </c>
      <c r="C1" s="685" t="s">
        <v>0</v>
      </c>
      <c r="D1" s="685" t="s">
        <v>1</v>
      </c>
      <c r="E1" s="685" t="s">
        <v>2</v>
      </c>
      <c r="I1" s="687" t="s">
        <v>3</v>
      </c>
    </row>
    <row r="2" spans="2:13" ht="24.95" customHeight="1">
      <c r="B2" s="686">
        <v>1</v>
      </c>
      <c r="C2" s="684" t="s">
        <v>1868</v>
      </c>
      <c r="D2" s="684" t="s">
        <v>1868</v>
      </c>
      <c r="E2" s="684" t="s">
        <v>1868</v>
      </c>
      <c r="I2" s="688"/>
      <c r="M2" s="326" t="s">
        <v>99</v>
      </c>
    </row>
    <row r="3" spans="2:13" ht="24.95" customHeight="1">
      <c r="B3" s="686">
        <v>2</v>
      </c>
      <c r="C3" s="684" t="s">
        <v>1865</v>
      </c>
      <c r="D3" s="684" t="s">
        <v>1865</v>
      </c>
      <c r="E3" s="684" t="s">
        <v>1865</v>
      </c>
      <c r="G3" s="326" t="str">
        <f>TRIM(MID(NBC_Exchange_Rate[[#This Row],[Column1]],27,6))</f>
        <v>៤.០០១</v>
      </c>
      <c r="H3" s="259"/>
      <c r="I3" s="687">
        <f>_xlfn.NUMBERVALUE(G3,",",".")</f>
        <v>4001</v>
      </c>
      <c r="M3" s="326" t="str">
        <f>MID(VLOOKUP(1,exchange_rate_list,2,FALSE),20,100)</f>
        <v>៣១ មីនា ២០២៦</v>
      </c>
    </row>
    <row r="4" spans="2:13" ht="24.95" customHeight="1">
      <c r="B4" s="686">
        <v>3</v>
      </c>
      <c r="C4" s="684" t="s">
        <v>4</v>
      </c>
      <c r="D4" s="684" t="s">
        <v>5</v>
      </c>
      <c r="E4" s="684" t="s">
        <v>6</v>
      </c>
    </row>
    <row r="5" spans="2:13" ht="24.95" customHeight="1">
      <c r="B5" s="686">
        <v>4</v>
      </c>
      <c r="C5" s="684" t="s">
        <v>7</v>
      </c>
      <c r="D5" s="684" t="s">
        <v>1869</v>
      </c>
      <c r="E5" s="684" t="s">
        <v>1870</v>
      </c>
    </row>
    <row r="6" spans="2:13" ht="24.95" customHeight="1">
      <c r="B6" s="686">
        <v>5</v>
      </c>
      <c r="C6" s="684" t="s">
        <v>8</v>
      </c>
      <c r="D6" s="684" t="s">
        <v>1866</v>
      </c>
      <c r="E6" s="684" t="s">
        <v>1863</v>
      </c>
    </row>
    <row r="7" spans="2:13" ht="24.95" customHeight="1">
      <c r="B7" s="686">
        <v>6</v>
      </c>
      <c r="C7" s="684" t="s">
        <v>9</v>
      </c>
      <c r="D7" s="684" t="s">
        <v>1871</v>
      </c>
      <c r="E7" s="684" t="s">
        <v>1872</v>
      </c>
    </row>
  </sheetData>
  <phoneticPr fontId="3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843" r:id="rId3" name="Button 3">
              <controlPr defaultSize="0" print="0" autoFill="0" autoPict="0" macro="[0]!goToNBCExchangeRate">
                <anchor moveWithCells="1" sizeWithCells="1">
                  <from>
                    <xdr:col>9</xdr:col>
                    <xdr:colOff>66675</xdr:colOff>
                    <xdr:row>1</xdr:row>
                    <xdr:rowOff>266700</xdr:rowOff>
                  </from>
                  <to>
                    <xdr:col>11</xdr:col>
                    <xdr:colOff>285750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4" r:id="rId4" name="Button 4">
              <controlPr defaultSize="0" print="0" autoFill="0" autoPict="0" macro="[0]!goToHome" altText="ទំព័រដើម">
                <anchor moveWithCells="1" sizeWithCells="1">
                  <from>
                    <xdr:col>9</xdr:col>
                    <xdr:colOff>66675</xdr:colOff>
                    <xdr:row>0</xdr:row>
                    <xdr:rowOff>76200</xdr:rowOff>
                  </from>
                  <to>
                    <xdr:col>11</xdr:col>
                    <xdr:colOff>66675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S66"/>
  <sheetViews>
    <sheetView showGridLines="0" topLeftCell="A4" zoomScale="90" zoomScaleNormal="90" zoomScaleSheetLayoutView="98" workbookViewId="0">
      <pane ySplit="4" topLeftCell="A8" activePane="bottomLeft" state="frozen"/>
      <selection pane="bottomLeft" activeCell="B4" sqref="B4"/>
    </sheetView>
  </sheetViews>
  <sheetFormatPr defaultColWidth="8.7109375" defaultRowHeight="24.95" customHeight="1"/>
  <cols>
    <col min="1" max="1" width="4.5703125" customWidth="1"/>
    <col min="2" max="2" width="9.7109375" style="126" customWidth="1"/>
    <col min="3" max="3" width="14.5703125" style="249" bestFit="1" customWidth="1"/>
    <col min="4" max="4" width="23.42578125" style="152" customWidth="1"/>
    <col min="5" max="5" width="38" style="130" customWidth="1"/>
    <col min="6" max="6" width="21.7109375" style="158" customWidth="1"/>
    <col min="7" max="7" width="19.28515625" style="158" customWidth="1"/>
    <col min="8" max="8" width="19" style="158" customWidth="1"/>
    <col min="9" max="9" width="18.42578125" style="158" customWidth="1"/>
    <col min="10" max="11" width="22.7109375" style="158" customWidth="1"/>
    <col min="12" max="12" width="19.42578125" style="140" customWidth="1"/>
    <col min="13" max="13" width="15.28515625" style="1035" bestFit="1" customWidth="1"/>
    <col min="14" max="14" width="14.7109375" style="1036" bestFit="1" customWidth="1"/>
    <col min="15" max="15" width="13.5703125" style="1036" bestFit="1" customWidth="1"/>
    <col min="16" max="16" width="18.5703125" style="1036" bestFit="1" customWidth="1"/>
    <col min="17" max="17" width="14.5703125" style="1036" bestFit="1" customWidth="1"/>
    <col min="18" max="18" width="9.85546875" style="144" customWidth="1"/>
    <col min="19" max="19" width="14.28515625" style="144" customWidth="1"/>
    <col min="20" max="20" width="15.85546875" style="144" customWidth="1"/>
    <col min="21" max="21" width="12.42578125" style="144" customWidth="1"/>
    <col min="22" max="22" width="35.42578125" style="135" customWidth="1"/>
    <col min="23" max="23" width="17.5703125" style="144" customWidth="1"/>
    <col min="24" max="25" width="3" style="144" customWidth="1"/>
    <col min="46" max="16384" width="8.7109375" style="145"/>
  </cols>
  <sheetData>
    <row r="1" spans="2:23" ht="24.95" hidden="1" customHeight="1">
      <c r="E1" s="158"/>
    </row>
    <row r="2" spans="2:23" ht="24.95" hidden="1" customHeight="1">
      <c r="E2" s="158"/>
    </row>
    <row r="3" spans="2:23" ht="10.5" hidden="1" customHeight="1">
      <c r="E3" s="158"/>
    </row>
    <row r="4" spans="2:23" ht="44.25" customHeight="1">
      <c r="B4" s="991"/>
      <c r="C4" s="875"/>
      <c r="D4" s="875"/>
      <c r="E4" s="875"/>
      <c r="F4" s="875"/>
      <c r="G4" s="875"/>
      <c r="H4" s="875"/>
      <c r="I4" s="875"/>
      <c r="J4" s="875"/>
      <c r="K4" s="875"/>
      <c r="L4" s="875"/>
      <c r="M4" s="1037"/>
      <c r="N4" s="1037"/>
      <c r="O4" s="1037"/>
      <c r="P4" s="1037"/>
      <c r="Q4" s="1037"/>
      <c r="S4" s="875"/>
      <c r="T4" s="875"/>
    </row>
    <row r="5" spans="2:23" ht="9.75" customHeight="1">
      <c r="E5" s="158"/>
    </row>
    <row r="6" spans="2:23" ht="24.95" customHeight="1">
      <c r="B6" s="876" t="s">
        <v>59</v>
      </c>
      <c r="C6" s="876" t="s">
        <v>73</v>
      </c>
      <c r="D6" s="876" t="s">
        <v>1874</v>
      </c>
      <c r="E6" s="900" t="s">
        <v>74</v>
      </c>
      <c r="F6" s="900" t="s">
        <v>1878</v>
      </c>
      <c r="G6" s="900" t="s">
        <v>1879</v>
      </c>
      <c r="H6" s="900" t="s">
        <v>1880</v>
      </c>
      <c r="I6" s="900" t="s">
        <v>1884</v>
      </c>
      <c r="J6" s="900" t="s">
        <v>100</v>
      </c>
      <c r="K6" s="900" t="s">
        <v>1931</v>
      </c>
      <c r="L6" s="900" t="s">
        <v>75</v>
      </c>
      <c r="M6" s="1038" t="s">
        <v>76</v>
      </c>
      <c r="N6" s="1038" t="s">
        <v>77</v>
      </c>
      <c r="O6" s="1038" t="s">
        <v>78</v>
      </c>
      <c r="P6" s="1038" t="s">
        <v>1885</v>
      </c>
      <c r="Q6" s="1038" t="s">
        <v>1886</v>
      </c>
      <c r="R6" s="900" t="s">
        <v>264</v>
      </c>
      <c r="S6" s="900" t="s">
        <v>79</v>
      </c>
      <c r="T6" s="900" t="s">
        <v>408</v>
      </c>
      <c r="U6" s="900" t="s">
        <v>369</v>
      </c>
      <c r="V6" s="472"/>
    </row>
    <row r="7" spans="2:23" s="877" customFormat="1" ht="21">
      <c r="B7" s="878" t="s">
        <v>11</v>
      </c>
      <c r="C7" s="878" t="s">
        <v>543</v>
      </c>
      <c r="D7" s="878" t="s">
        <v>132</v>
      </c>
      <c r="E7" s="878" t="s">
        <v>92</v>
      </c>
      <c r="F7" s="878" t="s">
        <v>1877</v>
      </c>
      <c r="G7" s="878" t="s">
        <v>1881</v>
      </c>
      <c r="H7" s="878" t="s">
        <v>1882</v>
      </c>
      <c r="I7" s="878" t="s">
        <v>1883</v>
      </c>
      <c r="J7" s="878" t="s">
        <v>103</v>
      </c>
      <c r="K7" s="878" t="s">
        <v>544</v>
      </c>
      <c r="L7" s="878" t="s">
        <v>15</v>
      </c>
      <c r="M7" s="1039" t="s">
        <v>94</v>
      </c>
      <c r="N7" s="1039" t="s">
        <v>1703</v>
      </c>
      <c r="O7" s="1039" t="s">
        <v>1702</v>
      </c>
      <c r="P7" s="1039" t="s">
        <v>1887</v>
      </c>
      <c r="Q7" s="1039" t="s">
        <v>1888</v>
      </c>
      <c r="R7" s="878" t="s">
        <v>212</v>
      </c>
      <c r="S7" s="878" t="s">
        <v>1704</v>
      </c>
      <c r="T7" s="878" t="s">
        <v>2324</v>
      </c>
      <c r="U7" s="878" t="s">
        <v>340</v>
      </c>
      <c r="V7" s="772" t="s">
        <v>1780</v>
      </c>
    </row>
    <row r="8" spans="2:23" ht="31.5" customHeight="1">
      <c r="B8" s="283">
        <v>1</v>
      </c>
      <c r="C8" s="282" t="s">
        <v>2604</v>
      </c>
      <c r="D8" s="329" t="s">
        <v>81</v>
      </c>
      <c r="E8" s="897" t="s">
        <v>1875</v>
      </c>
      <c r="F8" s="285"/>
      <c r="G8" s="285"/>
      <c r="H8" s="285"/>
      <c r="I8" s="285"/>
      <c r="J8" s="285"/>
      <c r="K8" s="285"/>
      <c r="L8" s="897" t="s">
        <v>2344</v>
      </c>
      <c r="M8" s="1040">
        <v>18</v>
      </c>
      <c r="N8" s="1041">
        <v>20</v>
      </c>
      <c r="O8" s="1041">
        <v>26</v>
      </c>
      <c r="P8" s="1041"/>
      <c r="Q8" s="1041"/>
      <c r="R8" s="283">
        <v>1</v>
      </c>
      <c r="S8" s="283">
        <f>MID(L8,1,3)*1</f>
        <v>14</v>
      </c>
      <c r="T8" s="283">
        <v>72</v>
      </c>
      <c r="U8" s="283">
        <v>1</v>
      </c>
      <c r="V8" s="127" t="str">
        <f>IF(AND(B8&lt;&gt;"",E8&lt;&gt;""),TEXT(B8,"00000")&amp;"."&amp;E8&amp;" #"&amp;C8,"")</f>
        <v>00001.អំពូលភ្លើង 75W #KS01</v>
      </c>
    </row>
    <row r="9" spans="2:23" ht="23.25">
      <c r="B9" s="283">
        <v>2</v>
      </c>
      <c r="C9" s="282" t="s">
        <v>2605</v>
      </c>
      <c r="D9" s="329" t="s">
        <v>85</v>
      </c>
      <c r="E9" s="897" t="s">
        <v>1876</v>
      </c>
      <c r="F9" s="285"/>
      <c r="G9" s="285"/>
      <c r="H9" s="285"/>
      <c r="I9" s="285"/>
      <c r="J9" s="285"/>
      <c r="K9" s="285"/>
      <c r="L9" s="897" t="s">
        <v>2343</v>
      </c>
      <c r="M9" s="1040">
        <v>40</v>
      </c>
      <c r="N9" s="1041">
        <v>60</v>
      </c>
      <c r="O9" s="1041">
        <v>80</v>
      </c>
      <c r="P9" s="1041"/>
      <c r="Q9" s="1041"/>
      <c r="R9" s="283">
        <v>1</v>
      </c>
      <c r="S9" s="283">
        <f t="shared" ref="S9:S10" si="0">MID(L9,1,3)*1</f>
        <v>13</v>
      </c>
      <c r="T9" s="283">
        <v>12</v>
      </c>
      <c r="U9" s="283">
        <v>1</v>
      </c>
      <c r="V9" s="127" t="str">
        <f t="shared" ref="V9:V37" si="1">IF(AND(B9&lt;&gt;"",E9&lt;&gt;""),TEXT(B9,"00000")&amp;"."&amp;E9&amp;" #"&amp;C9,"")</f>
        <v>00002.ឌីសង់តឺ schneder 32A #KS02</v>
      </c>
    </row>
    <row r="10" spans="2:23" ht="23.25">
      <c r="B10" s="283">
        <v>3</v>
      </c>
      <c r="C10" s="282" t="s">
        <v>2606</v>
      </c>
      <c r="D10" s="329" t="s">
        <v>272</v>
      </c>
      <c r="E10" s="897" t="s">
        <v>2347</v>
      </c>
      <c r="F10" s="285"/>
      <c r="G10" s="285"/>
      <c r="H10" s="285"/>
      <c r="I10" s="285"/>
      <c r="J10" s="285"/>
      <c r="K10" s="285"/>
      <c r="L10" s="897" t="s">
        <v>2342</v>
      </c>
      <c r="M10" s="1040">
        <v>50</v>
      </c>
      <c r="N10" s="1041">
        <v>54</v>
      </c>
      <c r="O10" s="1041">
        <v>56</v>
      </c>
      <c r="P10" s="1041"/>
      <c r="Q10" s="1041"/>
      <c r="R10" s="283">
        <v>1</v>
      </c>
      <c r="S10" s="283">
        <f t="shared" si="0"/>
        <v>2</v>
      </c>
      <c r="T10" s="283">
        <v>1</v>
      </c>
      <c r="U10" s="283">
        <v>1</v>
      </c>
      <c r="V10" s="127" t="str">
        <f t="shared" si="1"/>
        <v>00003.Solar Camera 6M  Hikvision #KS03</v>
      </c>
    </row>
    <row r="11" spans="2:23" ht="23.25">
      <c r="B11" s="283"/>
      <c r="C11" s="282"/>
      <c r="D11" s="329"/>
      <c r="E11" s="897"/>
      <c r="F11" s="285"/>
      <c r="G11" s="285"/>
      <c r="H11" s="285"/>
      <c r="I11" s="285"/>
      <c r="J11" s="285"/>
      <c r="K11" s="285"/>
      <c r="L11" s="897"/>
      <c r="M11" s="1040"/>
      <c r="N11" s="1041"/>
      <c r="O11" s="1041"/>
      <c r="P11" s="1041"/>
      <c r="Q11" s="1041"/>
      <c r="R11" s="283"/>
      <c r="S11" s="283"/>
      <c r="T11" s="283"/>
      <c r="U11" s="283"/>
      <c r="V11" s="127" t="str">
        <f t="shared" si="1"/>
        <v/>
      </c>
    </row>
    <row r="12" spans="2:23" ht="23.25">
      <c r="B12" s="283"/>
      <c r="C12" s="282"/>
      <c r="D12" s="329"/>
      <c r="E12" s="897"/>
      <c r="F12" s="285"/>
      <c r="G12" s="285"/>
      <c r="H12" s="285"/>
      <c r="I12" s="285"/>
      <c r="J12" s="285"/>
      <c r="K12" s="285"/>
      <c r="L12" s="897"/>
      <c r="M12" s="1040"/>
      <c r="N12" s="1041"/>
      <c r="O12" s="1041"/>
      <c r="P12" s="1041"/>
      <c r="Q12" s="1041"/>
      <c r="R12" s="283"/>
      <c r="S12" s="283"/>
      <c r="T12" s="283"/>
      <c r="U12" s="283"/>
      <c r="V12" s="127" t="str">
        <f t="shared" si="1"/>
        <v/>
      </c>
    </row>
    <row r="13" spans="2:23" ht="23.25">
      <c r="B13" s="283"/>
      <c r="C13" s="282"/>
      <c r="D13" s="329"/>
      <c r="E13" s="897"/>
      <c r="F13" s="285"/>
      <c r="G13" s="285"/>
      <c r="H13" s="285"/>
      <c r="I13" s="285"/>
      <c r="J13" s="285"/>
      <c r="K13" s="285"/>
      <c r="L13" s="897"/>
      <c r="M13" s="1040"/>
      <c r="N13" s="1041"/>
      <c r="O13" s="1041"/>
      <c r="P13" s="1041"/>
      <c r="Q13" s="1041"/>
      <c r="R13" s="283"/>
      <c r="S13" s="283"/>
      <c r="T13" s="283"/>
      <c r="U13" s="283"/>
      <c r="V13" s="127" t="str">
        <f t="shared" si="1"/>
        <v/>
      </c>
      <c r="W13" s="872"/>
    </row>
    <row r="14" spans="2:23" ht="23.25">
      <c r="B14" s="283"/>
      <c r="C14" s="282"/>
      <c r="D14" s="329"/>
      <c r="E14" s="897"/>
      <c r="F14" s="285"/>
      <c r="G14" s="285"/>
      <c r="H14" s="285"/>
      <c r="I14" s="285"/>
      <c r="J14" s="285"/>
      <c r="K14" s="285"/>
      <c r="L14" s="897"/>
      <c r="M14" s="1040"/>
      <c r="N14" s="1041"/>
      <c r="O14" s="1041"/>
      <c r="P14" s="1041"/>
      <c r="Q14" s="1041"/>
      <c r="R14" s="283"/>
      <c r="S14" s="283"/>
      <c r="T14" s="283"/>
      <c r="U14" s="283"/>
      <c r="V14" s="127" t="str">
        <f t="shared" si="1"/>
        <v/>
      </c>
      <c r="W14" s="872"/>
    </row>
    <row r="15" spans="2:23" ht="23.25">
      <c r="B15" s="283"/>
      <c r="C15" s="282"/>
      <c r="D15" s="329"/>
      <c r="E15" s="897"/>
      <c r="F15" s="285"/>
      <c r="G15" s="285"/>
      <c r="H15" s="285"/>
      <c r="I15" s="285"/>
      <c r="J15" s="285"/>
      <c r="K15" s="285"/>
      <c r="L15" s="897"/>
      <c r="M15" s="1040"/>
      <c r="N15" s="1041"/>
      <c r="O15" s="1041"/>
      <c r="P15" s="1041"/>
      <c r="Q15" s="1041"/>
      <c r="R15" s="283"/>
      <c r="S15" s="283"/>
      <c r="T15" s="283"/>
      <c r="U15" s="283"/>
      <c r="V15" s="127" t="str">
        <f t="shared" si="1"/>
        <v/>
      </c>
    </row>
    <row r="16" spans="2:23" ht="23.25">
      <c r="B16" s="283"/>
      <c r="C16" s="282"/>
      <c r="D16" s="329"/>
      <c r="E16" s="897"/>
      <c r="F16" s="285"/>
      <c r="G16" s="285"/>
      <c r="H16" s="285"/>
      <c r="I16" s="285"/>
      <c r="J16" s="285"/>
      <c r="K16" s="285"/>
      <c r="L16" s="897"/>
      <c r="M16" s="1040"/>
      <c r="N16" s="1041"/>
      <c r="O16" s="1041"/>
      <c r="P16" s="1041"/>
      <c r="Q16" s="1041"/>
      <c r="R16" s="283"/>
      <c r="S16" s="283"/>
      <c r="T16" s="283"/>
      <c r="U16" s="283"/>
      <c r="V16" s="127" t="str">
        <f t="shared" si="1"/>
        <v/>
      </c>
    </row>
    <row r="17" spans="2:22" ht="23.25">
      <c r="B17" s="283"/>
      <c r="C17" s="282"/>
      <c r="D17" s="329"/>
      <c r="E17" s="897"/>
      <c r="F17" s="285"/>
      <c r="G17" s="285"/>
      <c r="H17" s="285"/>
      <c r="I17" s="285"/>
      <c r="J17" s="285"/>
      <c r="K17" s="285"/>
      <c r="L17" s="897"/>
      <c r="M17" s="1040"/>
      <c r="N17" s="1041"/>
      <c r="O17" s="1041"/>
      <c r="P17" s="1041"/>
      <c r="Q17" s="1041"/>
      <c r="R17" s="283"/>
      <c r="S17" s="283"/>
      <c r="T17" s="283"/>
      <c r="U17" s="283"/>
      <c r="V17" s="127" t="str">
        <f t="shared" si="1"/>
        <v/>
      </c>
    </row>
    <row r="18" spans="2:22" ht="23.25">
      <c r="B18" s="283"/>
      <c r="C18" s="282"/>
      <c r="D18" s="329"/>
      <c r="E18" s="897"/>
      <c r="F18" s="285"/>
      <c r="G18" s="285"/>
      <c r="H18" s="285"/>
      <c r="I18" s="285"/>
      <c r="J18" s="285"/>
      <c r="K18" s="285"/>
      <c r="L18" s="897"/>
      <c r="M18" s="1040"/>
      <c r="N18" s="1041"/>
      <c r="O18" s="1041"/>
      <c r="P18" s="1041"/>
      <c r="Q18" s="1041"/>
      <c r="R18" s="283"/>
      <c r="S18" s="283"/>
      <c r="T18" s="283"/>
      <c r="U18" s="283"/>
      <c r="V18" s="127" t="str">
        <f t="shared" si="1"/>
        <v/>
      </c>
    </row>
    <row r="19" spans="2:22" ht="23.25">
      <c r="B19" s="283"/>
      <c r="C19" s="282"/>
      <c r="D19" s="329"/>
      <c r="E19" s="897"/>
      <c r="F19" s="285"/>
      <c r="G19" s="285"/>
      <c r="H19" s="285"/>
      <c r="I19" s="285"/>
      <c r="J19" s="285"/>
      <c r="K19" s="285"/>
      <c r="L19" s="897"/>
      <c r="M19" s="1040"/>
      <c r="N19" s="1041"/>
      <c r="O19" s="1041"/>
      <c r="P19" s="1041"/>
      <c r="Q19" s="1041"/>
      <c r="R19" s="283"/>
      <c r="S19" s="283"/>
      <c r="T19" s="283"/>
      <c r="U19" s="283"/>
      <c r="V19" s="127" t="str">
        <f t="shared" si="1"/>
        <v/>
      </c>
    </row>
    <row r="20" spans="2:22" ht="23.25">
      <c r="B20" s="283"/>
      <c r="C20" s="282"/>
      <c r="D20" s="329"/>
      <c r="E20" s="897"/>
      <c r="F20" s="285"/>
      <c r="G20" s="285"/>
      <c r="H20" s="285"/>
      <c r="I20" s="285"/>
      <c r="J20" s="285"/>
      <c r="K20" s="285"/>
      <c r="L20" s="897"/>
      <c r="M20" s="1040"/>
      <c r="N20" s="1041"/>
      <c r="O20" s="1041"/>
      <c r="P20" s="1041"/>
      <c r="Q20" s="1041"/>
      <c r="R20" s="283"/>
      <c r="S20" s="283"/>
      <c r="T20" s="283"/>
      <c r="U20" s="283"/>
      <c r="V20" s="127" t="str">
        <f t="shared" si="1"/>
        <v/>
      </c>
    </row>
    <row r="21" spans="2:22" ht="29.25" customHeight="1">
      <c r="B21" s="283"/>
      <c r="C21" s="282"/>
      <c r="D21" s="329"/>
      <c r="E21" s="897"/>
      <c r="F21" s="285"/>
      <c r="G21" s="285"/>
      <c r="H21" s="285"/>
      <c r="I21" s="285"/>
      <c r="J21" s="285"/>
      <c r="K21" s="285"/>
      <c r="L21" s="897"/>
      <c r="M21" s="1040"/>
      <c r="N21" s="1041"/>
      <c r="O21" s="1041"/>
      <c r="P21" s="1041"/>
      <c r="Q21" s="1041"/>
      <c r="R21" s="283"/>
      <c r="S21" s="283"/>
      <c r="T21" s="283"/>
      <c r="U21" s="283"/>
      <c r="V21" s="127" t="str">
        <f t="shared" si="1"/>
        <v/>
      </c>
    </row>
    <row r="22" spans="2:22" ht="23.25">
      <c r="B22" s="283"/>
      <c r="C22" s="282"/>
      <c r="D22" s="329"/>
      <c r="E22" s="897"/>
      <c r="F22" s="285"/>
      <c r="G22" s="285"/>
      <c r="H22" s="285"/>
      <c r="I22" s="285"/>
      <c r="J22" s="285"/>
      <c r="K22" s="285"/>
      <c r="L22" s="897"/>
      <c r="M22" s="1040"/>
      <c r="N22" s="1041"/>
      <c r="O22" s="1041"/>
      <c r="P22" s="1041"/>
      <c r="Q22" s="1041"/>
      <c r="R22" s="283"/>
      <c r="S22" s="283"/>
      <c r="T22" s="283"/>
      <c r="U22" s="283"/>
      <c r="V22" s="127" t="str">
        <f t="shared" si="1"/>
        <v/>
      </c>
    </row>
    <row r="23" spans="2:22" ht="23.25">
      <c r="B23" s="283"/>
      <c r="C23" s="282"/>
      <c r="D23" s="329"/>
      <c r="E23" s="897"/>
      <c r="F23" s="285"/>
      <c r="G23" s="285"/>
      <c r="H23" s="285"/>
      <c r="I23" s="285"/>
      <c r="J23" s="285"/>
      <c r="K23" s="285"/>
      <c r="L23" s="897"/>
      <c r="M23" s="1040"/>
      <c r="N23" s="1041"/>
      <c r="O23" s="1041"/>
      <c r="P23" s="1041"/>
      <c r="Q23" s="1041"/>
      <c r="R23" s="283"/>
      <c r="S23" s="283"/>
      <c r="T23" s="283"/>
      <c r="U23" s="283"/>
      <c r="V23" s="127" t="str">
        <f t="shared" si="1"/>
        <v/>
      </c>
    </row>
    <row r="24" spans="2:22" ht="23.25">
      <c r="B24" s="283"/>
      <c r="C24" s="282"/>
      <c r="D24" s="329"/>
      <c r="E24" s="897"/>
      <c r="F24" s="285"/>
      <c r="G24" s="285"/>
      <c r="H24" s="285"/>
      <c r="I24" s="285"/>
      <c r="J24" s="285"/>
      <c r="K24" s="285"/>
      <c r="L24" s="897"/>
      <c r="M24" s="1040"/>
      <c r="N24" s="1041"/>
      <c r="O24" s="1041"/>
      <c r="P24" s="1041"/>
      <c r="Q24" s="1041"/>
      <c r="R24" s="283"/>
      <c r="S24" s="283"/>
      <c r="T24" s="283"/>
      <c r="U24" s="283"/>
      <c r="V24" s="127" t="str">
        <f t="shared" si="1"/>
        <v/>
      </c>
    </row>
    <row r="25" spans="2:22" ht="23.25" customHeight="1">
      <c r="B25" s="283"/>
      <c r="C25" s="282"/>
      <c r="D25" s="329"/>
      <c r="E25" s="897"/>
      <c r="F25" s="285"/>
      <c r="G25" s="285"/>
      <c r="H25" s="285"/>
      <c r="I25" s="285"/>
      <c r="J25" s="285"/>
      <c r="K25" s="285"/>
      <c r="L25" s="897"/>
      <c r="M25" s="1040"/>
      <c r="N25" s="1041"/>
      <c r="O25" s="1041"/>
      <c r="P25" s="1041"/>
      <c r="Q25" s="1041"/>
      <c r="R25" s="283"/>
      <c r="S25" s="283"/>
      <c r="T25" s="283"/>
      <c r="U25" s="283"/>
      <c r="V25" s="127" t="str">
        <f t="shared" si="1"/>
        <v/>
      </c>
    </row>
    <row r="26" spans="2:22" ht="23.25" customHeight="1">
      <c r="B26" s="283"/>
      <c r="C26" s="282"/>
      <c r="D26" s="329"/>
      <c r="E26" s="897"/>
      <c r="F26" s="285"/>
      <c r="G26" s="285"/>
      <c r="H26" s="285"/>
      <c r="I26" s="285"/>
      <c r="J26" s="285"/>
      <c r="K26" s="285"/>
      <c r="L26" s="897"/>
      <c r="M26" s="1040"/>
      <c r="N26" s="1041"/>
      <c r="O26" s="1041"/>
      <c r="P26" s="1041"/>
      <c r="Q26" s="1041"/>
      <c r="R26" s="283"/>
      <c r="S26" s="283"/>
      <c r="T26" s="283"/>
      <c r="U26" s="283"/>
      <c r="V26" s="127" t="str">
        <f t="shared" si="1"/>
        <v/>
      </c>
    </row>
    <row r="27" spans="2:22" ht="23.25">
      <c r="B27" s="283"/>
      <c r="C27" s="282"/>
      <c r="D27" s="329"/>
      <c r="E27" s="897"/>
      <c r="F27" s="285"/>
      <c r="G27" s="285"/>
      <c r="H27" s="285"/>
      <c r="I27" s="285"/>
      <c r="J27" s="285"/>
      <c r="K27" s="285"/>
      <c r="L27" s="897"/>
      <c r="M27" s="1040"/>
      <c r="N27" s="1041"/>
      <c r="O27" s="1041"/>
      <c r="P27" s="1041"/>
      <c r="Q27" s="1041"/>
      <c r="R27" s="283"/>
      <c r="S27" s="283"/>
      <c r="T27" s="283"/>
      <c r="U27" s="283"/>
      <c r="V27" s="127" t="str">
        <f t="shared" si="1"/>
        <v/>
      </c>
    </row>
    <row r="28" spans="2:22" ht="23.25">
      <c r="B28" s="283"/>
      <c r="C28" s="282"/>
      <c r="D28" s="329"/>
      <c r="E28" s="897"/>
      <c r="F28" s="285"/>
      <c r="G28" s="285"/>
      <c r="H28" s="285"/>
      <c r="I28" s="285"/>
      <c r="J28" s="285"/>
      <c r="K28" s="285"/>
      <c r="L28" s="897"/>
      <c r="M28" s="1040"/>
      <c r="N28" s="1041"/>
      <c r="O28" s="1041"/>
      <c r="P28" s="1041"/>
      <c r="Q28" s="1041"/>
      <c r="R28" s="283"/>
      <c r="S28" s="283"/>
      <c r="T28" s="283"/>
      <c r="U28" s="283"/>
      <c r="V28" s="127" t="str">
        <f t="shared" si="1"/>
        <v/>
      </c>
    </row>
    <row r="29" spans="2:22" ht="24.95" customHeight="1">
      <c r="B29" s="283"/>
      <c r="C29" s="282"/>
      <c r="D29" s="329"/>
      <c r="E29" s="897"/>
      <c r="F29" s="285"/>
      <c r="G29" s="285"/>
      <c r="H29" s="285"/>
      <c r="I29" s="285"/>
      <c r="J29" s="285"/>
      <c r="K29" s="285"/>
      <c r="L29" s="897"/>
      <c r="M29" s="1040"/>
      <c r="N29" s="1041"/>
      <c r="O29" s="1041"/>
      <c r="P29" s="1041"/>
      <c r="Q29" s="1041"/>
      <c r="R29" s="898"/>
      <c r="S29" s="283"/>
      <c r="T29" s="283"/>
      <c r="U29" s="283"/>
      <c r="V29" s="127" t="str">
        <f t="shared" si="1"/>
        <v/>
      </c>
    </row>
    <row r="30" spans="2:22" ht="24.95" customHeight="1">
      <c r="B30" s="283"/>
      <c r="C30" s="282"/>
      <c r="D30" s="329"/>
      <c r="E30" s="897"/>
      <c r="F30" s="285"/>
      <c r="G30" s="285"/>
      <c r="H30" s="285"/>
      <c r="I30" s="285"/>
      <c r="J30" s="285"/>
      <c r="K30" s="285"/>
      <c r="L30" s="897"/>
      <c r="M30" s="1040"/>
      <c r="N30" s="1041"/>
      <c r="O30" s="1041"/>
      <c r="P30" s="1041"/>
      <c r="Q30" s="1041"/>
      <c r="R30" s="898"/>
      <c r="S30" s="283"/>
      <c r="T30" s="283"/>
      <c r="U30" s="283"/>
      <c r="V30" s="127" t="str">
        <f t="shared" si="1"/>
        <v/>
      </c>
    </row>
    <row r="31" spans="2:22" ht="24.95" customHeight="1">
      <c r="B31" s="283"/>
      <c r="C31" s="282"/>
      <c r="D31" s="329"/>
      <c r="E31" s="897"/>
      <c r="F31" s="285"/>
      <c r="G31" s="285"/>
      <c r="H31" s="285"/>
      <c r="I31" s="285"/>
      <c r="J31" s="285"/>
      <c r="K31" s="285"/>
      <c r="L31" s="897"/>
      <c r="M31" s="1040"/>
      <c r="N31" s="1041"/>
      <c r="O31" s="1041"/>
      <c r="P31" s="1041"/>
      <c r="Q31" s="1041"/>
      <c r="R31" s="898"/>
      <c r="S31" s="283"/>
      <c r="T31" s="283"/>
      <c r="U31" s="283"/>
      <c r="V31" s="127" t="str">
        <f t="shared" si="1"/>
        <v/>
      </c>
    </row>
    <row r="32" spans="2:22" ht="24.95" customHeight="1">
      <c r="B32" s="283"/>
      <c r="C32" s="282"/>
      <c r="D32" s="329"/>
      <c r="E32" s="1044"/>
      <c r="F32" s="899"/>
      <c r="G32" s="899"/>
      <c r="H32" s="899"/>
      <c r="I32" s="899"/>
      <c r="J32" s="899"/>
      <c r="K32" s="899"/>
      <c r="L32" s="897"/>
      <c r="M32" s="1042"/>
      <c r="N32" s="1042"/>
      <c r="O32" s="1042"/>
      <c r="P32" s="1042"/>
      <c r="Q32" s="1042"/>
      <c r="R32" s="283"/>
      <c r="S32" s="283"/>
      <c r="T32" s="283"/>
      <c r="U32" s="283"/>
      <c r="V32" s="127" t="str">
        <f t="shared" si="1"/>
        <v/>
      </c>
    </row>
    <row r="33" spans="2:22" ht="24.95" customHeight="1">
      <c r="B33" s="283"/>
      <c r="C33" s="282"/>
      <c r="D33" s="329"/>
      <c r="E33" s="1044"/>
      <c r="F33" s="899"/>
      <c r="G33" s="899"/>
      <c r="H33" s="899"/>
      <c r="I33" s="899"/>
      <c r="J33" s="899"/>
      <c r="K33" s="899"/>
      <c r="L33" s="897"/>
      <c r="M33" s="1042"/>
      <c r="N33" s="1042"/>
      <c r="O33" s="1042"/>
      <c r="P33" s="1042"/>
      <c r="Q33" s="1042"/>
      <c r="R33" s="283"/>
      <c r="S33" s="283"/>
      <c r="T33" s="283"/>
      <c r="U33" s="283"/>
      <c r="V33" s="127" t="str">
        <f t="shared" si="1"/>
        <v/>
      </c>
    </row>
    <row r="34" spans="2:22" ht="23.25">
      <c r="B34" s="283"/>
      <c r="C34" s="282"/>
      <c r="D34" s="329"/>
      <c r="E34" s="1044"/>
      <c r="F34" s="899"/>
      <c r="G34" s="899"/>
      <c r="H34" s="899"/>
      <c r="I34" s="899"/>
      <c r="J34" s="899"/>
      <c r="K34" s="899"/>
      <c r="L34" s="897"/>
      <c r="M34" s="1042"/>
      <c r="N34" s="1042"/>
      <c r="O34" s="1042"/>
      <c r="P34" s="1042"/>
      <c r="Q34" s="1042"/>
      <c r="R34" s="283"/>
      <c r="S34" s="283"/>
      <c r="T34" s="283"/>
      <c r="U34" s="283"/>
      <c r="V34" s="127" t="str">
        <f t="shared" si="1"/>
        <v/>
      </c>
    </row>
    <row r="35" spans="2:22" ht="24.95" customHeight="1">
      <c r="B35" s="283"/>
      <c r="C35" s="282"/>
      <c r="D35" s="329"/>
      <c r="E35" s="1044"/>
      <c r="F35" s="899"/>
      <c r="G35" s="899"/>
      <c r="H35" s="899"/>
      <c r="I35" s="899"/>
      <c r="J35" s="899"/>
      <c r="K35" s="899"/>
      <c r="L35" s="897"/>
      <c r="M35" s="1042"/>
      <c r="N35" s="1042"/>
      <c r="O35" s="1042"/>
      <c r="P35" s="1042"/>
      <c r="Q35" s="1042"/>
      <c r="R35" s="283"/>
      <c r="S35" s="283"/>
      <c r="T35" s="283"/>
      <c r="U35" s="283"/>
      <c r="V35" s="127" t="str">
        <f t="shared" si="1"/>
        <v/>
      </c>
    </row>
    <row r="36" spans="2:22" ht="24.95" customHeight="1">
      <c r="B36" s="283"/>
      <c r="C36" s="282"/>
      <c r="D36" s="329"/>
      <c r="E36" s="1044"/>
      <c r="F36" s="899"/>
      <c r="G36" s="899"/>
      <c r="H36" s="899"/>
      <c r="I36" s="899"/>
      <c r="J36" s="899"/>
      <c r="K36" s="899"/>
      <c r="L36" s="897"/>
      <c r="M36" s="1042"/>
      <c r="N36" s="1042"/>
      <c r="O36" s="1042"/>
      <c r="P36" s="1042"/>
      <c r="Q36" s="1042"/>
      <c r="R36" s="283"/>
      <c r="S36" s="283"/>
      <c r="T36" s="283"/>
      <c r="U36" s="283"/>
      <c r="V36" s="127" t="str">
        <f t="shared" si="1"/>
        <v/>
      </c>
    </row>
    <row r="37" spans="2:22" ht="24.95" customHeight="1">
      <c r="B37" s="283"/>
      <c r="C37" s="282"/>
      <c r="D37" s="329"/>
      <c r="E37" s="1044"/>
      <c r="F37" s="899"/>
      <c r="G37" s="899"/>
      <c r="H37" s="899"/>
      <c r="I37" s="899"/>
      <c r="J37" s="899"/>
      <c r="K37" s="899"/>
      <c r="L37" s="897"/>
      <c r="M37" s="1042"/>
      <c r="N37" s="1042"/>
      <c r="O37" s="1042"/>
      <c r="P37" s="1042"/>
      <c r="Q37" s="1042"/>
      <c r="R37" s="283"/>
      <c r="S37" s="283"/>
      <c r="T37" s="283"/>
      <c r="U37" s="283"/>
      <c r="V37" s="127" t="str">
        <f t="shared" si="1"/>
        <v/>
      </c>
    </row>
    <row r="38" spans="2:22" ht="24.95" customHeight="1">
      <c r="L38" s="391"/>
      <c r="M38" s="1043"/>
      <c r="N38" s="1043"/>
      <c r="O38" s="1043"/>
      <c r="P38" s="1043"/>
      <c r="Q38" s="1043"/>
      <c r="R38" s="126"/>
      <c r="S38" s="126"/>
      <c r="T38" s="126"/>
      <c r="U38" s="126"/>
      <c r="V38" s="127"/>
    </row>
    <row r="39" spans="2:22" ht="35.25" customHeight="1">
      <c r="L39" s="391"/>
      <c r="M39" s="1043"/>
      <c r="N39" s="1043"/>
      <c r="O39" s="1043"/>
      <c r="P39" s="1043"/>
      <c r="Q39" s="1043"/>
      <c r="R39" s="126"/>
      <c r="S39" s="126"/>
      <c r="T39" s="126"/>
      <c r="U39" s="126"/>
      <c r="V39" s="127"/>
    </row>
    <row r="40" spans="2:22" ht="24.95" customHeight="1">
      <c r="L40" s="391"/>
      <c r="M40" s="1043"/>
      <c r="N40" s="1043"/>
      <c r="O40" s="1043"/>
      <c r="P40" s="1043"/>
      <c r="Q40" s="1043"/>
      <c r="R40" s="126"/>
      <c r="S40" s="126"/>
      <c r="T40" s="126"/>
      <c r="U40" s="126"/>
      <c r="V40" s="127"/>
    </row>
    <row r="41" spans="2:22" ht="24.95" customHeight="1">
      <c r="L41" s="391"/>
      <c r="M41" s="1043"/>
      <c r="N41" s="1043"/>
      <c r="O41" s="1043"/>
      <c r="P41" s="1043"/>
      <c r="Q41" s="1043"/>
      <c r="R41" s="126"/>
      <c r="S41" s="126"/>
      <c r="T41" s="126"/>
      <c r="U41" s="126"/>
      <c r="V41" s="127"/>
    </row>
    <row r="42" spans="2:22" ht="24.95" customHeight="1">
      <c r="L42" s="391"/>
      <c r="M42" s="1043"/>
      <c r="N42" s="1043"/>
      <c r="O42" s="1043"/>
      <c r="P42" s="1043"/>
      <c r="Q42" s="1043"/>
      <c r="R42" s="126"/>
      <c r="S42" s="126"/>
      <c r="T42" s="126"/>
      <c r="U42" s="126"/>
      <c r="V42" s="127"/>
    </row>
    <row r="43" spans="2:22" ht="24.95" customHeight="1">
      <c r="L43" s="391"/>
      <c r="M43" s="1043"/>
      <c r="N43" s="1043"/>
      <c r="O43" s="1043"/>
      <c r="P43" s="1043"/>
      <c r="Q43" s="1043"/>
      <c r="R43" s="126"/>
      <c r="S43" s="126"/>
      <c r="T43" s="126"/>
      <c r="U43" s="126"/>
      <c r="V43" s="127"/>
    </row>
    <row r="44" spans="2:22" ht="24.95" customHeight="1">
      <c r="E44" s="1045"/>
      <c r="F44" s="873"/>
      <c r="G44" s="873"/>
      <c r="H44" s="873"/>
      <c r="I44" s="873"/>
      <c r="J44" s="873"/>
      <c r="K44" s="873"/>
      <c r="L44" s="391"/>
      <c r="M44" s="1043"/>
      <c r="N44" s="1043"/>
      <c r="O44" s="1043"/>
      <c r="P44" s="1043"/>
      <c r="Q44" s="1043"/>
      <c r="R44" s="126"/>
      <c r="S44" s="126"/>
      <c r="T44" s="126"/>
      <c r="U44" s="126"/>
      <c r="V44" s="127"/>
    </row>
    <row r="45" spans="2:22" ht="24.95" customHeight="1">
      <c r="E45" s="1046"/>
      <c r="F45" s="874"/>
      <c r="G45" s="874"/>
      <c r="H45" s="874"/>
      <c r="I45" s="874"/>
      <c r="J45" s="874"/>
      <c r="K45" s="874"/>
      <c r="L45" s="391"/>
      <c r="M45" s="1043"/>
      <c r="N45" s="1043"/>
      <c r="O45" s="1043"/>
      <c r="P45" s="1043"/>
      <c r="Q45" s="1043"/>
      <c r="R45" s="126"/>
      <c r="S45" s="126"/>
      <c r="T45" s="126"/>
      <c r="U45" s="126"/>
      <c r="V45" s="127"/>
    </row>
    <row r="46" spans="2:22" ht="23.25">
      <c r="E46" s="1046"/>
      <c r="F46" s="874"/>
      <c r="G46" s="874"/>
      <c r="H46" s="874"/>
      <c r="I46" s="874"/>
      <c r="J46" s="874"/>
      <c r="K46" s="874"/>
      <c r="L46" s="391"/>
      <c r="M46" s="1043"/>
      <c r="N46" s="1043"/>
      <c r="O46" s="1043"/>
      <c r="P46" s="1043"/>
      <c r="Q46" s="1043"/>
      <c r="R46" s="126"/>
      <c r="S46" s="126"/>
      <c r="T46" s="126"/>
      <c r="U46" s="126"/>
      <c r="V46" s="127"/>
    </row>
    <row r="47" spans="2:22" ht="24.95" customHeight="1">
      <c r="E47" s="1046"/>
      <c r="F47" s="874"/>
      <c r="G47" s="874"/>
      <c r="H47" s="874"/>
      <c r="I47" s="874"/>
      <c r="J47" s="874"/>
      <c r="K47" s="874"/>
      <c r="L47" s="391"/>
      <c r="M47" s="1043"/>
      <c r="N47" s="1043"/>
      <c r="O47" s="1043"/>
      <c r="P47" s="1043"/>
      <c r="Q47" s="1043"/>
      <c r="R47" s="126"/>
      <c r="S47" s="126"/>
      <c r="T47" s="126"/>
      <c r="U47" s="126"/>
      <c r="V47" s="127"/>
    </row>
    <row r="48" spans="2:22" ht="24.95" customHeight="1">
      <c r="E48" s="1046"/>
      <c r="F48" s="874"/>
      <c r="G48" s="874"/>
      <c r="H48" s="874"/>
      <c r="I48" s="874"/>
      <c r="J48" s="874"/>
      <c r="K48" s="874"/>
      <c r="L48" s="391"/>
      <c r="M48" s="1043"/>
      <c r="N48" s="1043"/>
      <c r="O48" s="1043"/>
      <c r="P48" s="1043"/>
      <c r="Q48" s="1043"/>
      <c r="R48" s="126"/>
      <c r="S48" s="126"/>
      <c r="T48" s="126"/>
      <c r="U48" s="126"/>
      <c r="V48" s="127"/>
    </row>
    <row r="49" spans="5:23" ht="24.95" customHeight="1">
      <c r="E49" s="1046"/>
      <c r="F49" s="874"/>
      <c r="G49" s="874"/>
      <c r="H49" s="874"/>
      <c r="I49" s="874"/>
      <c r="J49" s="874"/>
      <c r="K49" s="874"/>
      <c r="L49" s="391"/>
      <c r="M49" s="1043"/>
      <c r="N49" s="1043"/>
      <c r="O49" s="1043"/>
      <c r="P49" s="1043"/>
      <c r="Q49" s="1043"/>
      <c r="R49" s="126"/>
      <c r="S49" s="126"/>
      <c r="T49" s="126"/>
      <c r="U49" s="126"/>
      <c r="V49" s="127"/>
    </row>
    <row r="50" spans="5:23" ht="24.95" customHeight="1">
      <c r="E50" s="1046"/>
      <c r="F50" s="874"/>
      <c r="G50" s="874"/>
      <c r="H50" s="874"/>
      <c r="I50" s="874"/>
      <c r="J50" s="874"/>
      <c r="K50" s="874"/>
      <c r="L50" s="391"/>
      <c r="M50" s="1043"/>
      <c r="N50" s="1043"/>
      <c r="O50" s="1043"/>
      <c r="P50" s="1043"/>
      <c r="Q50" s="1043"/>
      <c r="R50" s="126"/>
      <c r="S50" s="126"/>
      <c r="T50" s="126"/>
      <c r="U50" s="126"/>
      <c r="V50" s="127"/>
    </row>
    <row r="51" spans="5:23" ht="24.95" customHeight="1">
      <c r="E51" s="1046"/>
      <c r="F51" s="874"/>
      <c r="G51" s="874"/>
      <c r="H51" s="874"/>
      <c r="I51" s="874"/>
      <c r="J51" s="874"/>
      <c r="K51" s="874"/>
      <c r="L51" s="391"/>
      <c r="M51" s="1043"/>
      <c r="N51" s="1043"/>
      <c r="O51" s="1043"/>
      <c r="P51" s="1043"/>
      <c r="Q51" s="1043"/>
      <c r="R51" s="126"/>
      <c r="S51" s="126"/>
      <c r="T51" s="126"/>
      <c r="U51" s="126"/>
      <c r="V51" s="127"/>
    </row>
    <row r="52" spans="5:23" ht="24.95" customHeight="1">
      <c r="E52" s="1046"/>
      <c r="F52" s="874"/>
      <c r="G52" s="874"/>
      <c r="H52" s="874"/>
      <c r="I52" s="874"/>
      <c r="J52" s="874"/>
      <c r="K52" s="874"/>
      <c r="L52" s="391"/>
      <c r="M52" s="1043"/>
      <c r="N52" s="1043"/>
      <c r="O52" s="1043"/>
      <c r="P52" s="1043"/>
      <c r="Q52" s="1043"/>
      <c r="R52" s="126"/>
      <c r="S52" s="126"/>
      <c r="T52" s="126"/>
      <c r="U52" s="126"/>
      <c r="V52" s="127"/>
    </row>
    <row r="53" spans="5:23" ht="24.95" customHeight="1">
      <c r="E53" s="1046"/>
      <c r="F53" s="874"/>
      <c r="G53" s="874"/>
      <c r="H53" s="874"/>
      <c r="I53" s="874"/>
      <c r="J53" s="874"/>
      <c r="K53" s="874"/>
      <c r="L53" s="391"/>
      <c r="M53" s="1043"/>
      <c r="N53" s="1043"/>
      <c r="O53" s="1043"/>
      <c r="P53" s="1043"/>
      <c r="Q53" s="1043"/>
      <c r="R53" s="126"/>
      <c r="S53" s="126"/>
      <c r="T53" s="126"/>
      <c r="U53" s="126"/>
      <c r="V53" s="127"/>
    </row>
    <row r="54" spans="5:23" ht="24.95" customHeight="1">
      <c r="E54" s="1046"/>
      <c r="F54" s="874"/>
      <c r="G54" s="874"/>
      <c r="H54" s="874"/>
      <c r="I54" s="874"/>
      <c r="J54" s="874"/>
      <c r="K54" s="874"/>
      <c r="L54" s="391"/>
      <c r="M54" s="1043"/>
      <c r="N54" s="1043"/>
      <c r="O54" s="1043"/>
      <c r="P54" s="1043"/>
      <c r="Q54" s="1043"/>
      <c r="R54" s="126"/>
      <c r="S54" s="126"/>
      <c r="T54" s="126"/>
      <c r="U54" s="126"/>
      <c r="V54" s="127"/>
    </row>
    <row r="55" spans="5:23" ht="24.95" customHeight="1">
      <c r="E55" s="1046"/>
      <c r="F55" s="874"/>
      <c r="G55" s="874"/>
      <c r="H55" s="874"/>
      <c r="I55" s="874"/>
      <c r="J55" s="874"/>
      <c r="K55" s="874"/>
      <c r="L55" s="391"/>
      <c r="M55" s="1043"/>
      <c r="N55" s="1043"/>
      <c r="O55" s="1043"/>
      <c r="P55" s="1043"/>
      <c r="Q55" s="1043"/>
      <c r="R55" s="126"/>
      <c r="S55" s="126"/>
      <c r="T55" s="126"/>
      <c r="U55" s="126"/>
      <c r="V55" s="127"/>
    </row>
    <row r="56" spans="5:23" ht="24.95" customHeight="1">
      <c r="L56" s="391"/>
      <c r="M56" s="1043"/>
      <c r="N56" s="1043"/>
      <c r="O56" s="1043"/>
      <c r="P56" s="1043"/>
      <c r="Q56" s="1043"/>
      <c r="R56" s="126"/>
      <c r="S56" s="126"/>
      <c r="T56" s="126"/>
      <c r="U56" s="126"/>
      <c r="V56" s="127"/>
    </row>
    <row r="57" spans="5:23" ht="24.95" customHeight="1">
      <c r="L57" s="391"/>
      <c r="M57" s="1043"/>
      <c r="N57" s="1043"/>
      <c r="O57" s="1043"/>
      <c r="P57" s="1043"/>
      <c r="Q57" s="1043"/>
      <c r="R57" s="126"/>
      <c r="S57" s="126"/>
      <c r="T57" s="126"/>
      <c r="U57" s="126"/>
      <c r="V57" s="127"/>
    </row>
    <row r="58" spans="5:23" ht="24.95" customHeight="1">
      <c r="L58" s="391"/>
      <c r="M58" s="1043"/>
      <c r="N58" s="1043"/>
      <c r="O58" s="1043"/>
      <c r="P58" s="1043"/>
      <c r="Q58" s="1043"/>
      <c r="R58" s="126"/>
      <c r="S58" s="126"/>
      <c r="T58" s="126"/>
      <c r="U58" s="126"/>
      <c r="V58" s="127"/>
    </row>
    <row r="59" spans="5:23" ht="24.95" customHeight="1">
      <c r="L59" s="391"/>
      <c r="M59" s="1043"/>
      <c r="N59" s="1043"/>
      <c r="O59" s="1043"/>
      <c r="P59" s="1043"/>
      <c r="Q59" s="1043"/>
      <c r="R59" s="126"/>
      <c r="S59" s="126"/>
      <c r="T59" s="126"/>
      <c r="U59" s="126"/>
      <c r="V59" s="127"/>
    </row>
    <row r="60" spans="5:23" ht="24.95" customHeight="1">
      <c r="L60" s="391"/>
      <c r="M60" s="1043"/>
      <c r="N60" s="1043"/>
      <c r="O60" s="1043"/>
      <c r="P60" s="1043"/>
      <c r="Q60" s="1043"/>
      <c r="R60" s="126"/>
      <c r="S60" s="126"/>
      <c r="T60" s="126"/>
      <c r="U60" s="126"/>
      <c r="V60" s="127"/>
    </row>
    <row r="61" spans="5:23" ht="24.95" customHeight="1">
      <c r="L61" s="391"/>
      <c r="M61" s="1043"/>
      <c r="N61" s="1043"/>
      <c r="O61" s="1043"/>
      <c r="P61" s="1043"/>
      <c r="Q61" s="1043"/>
      <c r="R61" s="126"/>
      <c r="S61" s="126"/>
      <c r="T61" s="126"/>
      <c r="U61" s="126"/>
      <c r="V61" s="127"/>
    </row>
    <row r="62" spans="5:23" ht="24.95" customHeight="1">
      <c r="L62" s="391"/>
      <c r="M62" s="1043"/>
      <c r="N62" s="1043"/>
      <c r="O62" s="1043"/>
      <c r="P62" s="1043"/>
      <c r="Q62" s="1043"/>
      <c r="S62" s="126"/>
      <c r="T62" s="126"/>
      <c r="U62" s="126"/>
      <c r="V62" s="127"/>
    </row>
    <row r="63" spans="5:23" ht="24.95" customHeight="1">
      <c r="L63" s="391"/>
      <c r="M63" s="1043"/>
      <c r="N63" s="1043"/>
      <c r="O63" s="1043"/>
      <c r="P63" s="1043"/>
      <c r="Q63" s="1043"/>
      <c r="S63" s="126"/>
      <c r="T63" s="126"/>
      <c r="U63" s="126"/>
      <c r="V63" s="127"/>
      <c r="W63" s="872"/>
    </row>
    <row r="64" spans="5:23" ht="24.95" customHeight="1">
      <c r="E64" s="391"/>
      <c r="F64" s="127"/>
      <c r="G64" s="127"/>
      <c r="H64" s="127"/>
      <c r="I64" s="127"/>
      <c r="J64" s="127"/>
      <c r="K64" s="127"/>
      <c r="L64" s="391"/>
      <c r="N64" s="1043"/>
      <c r="O64" s="1043"/>
      <c r="P64" s="1043"/>
      <c r="Q64" s="1043"/>
      <c r="S64" s="126"/>
      <c r="T64" s="126"/>
      <c r="V64" s="127"/>
    </row>
    <row r="65" spans="5:22" ht="24.95" customHeight="1">
      <c r="E65" s="391"/>
      <c r="F65" s="127"/>
      <c r="G65" s="127"/>
      <c r="H65" s="127"/>
      <c r="I65" s="127"/>
      <c r="J65" s="127"/>
      <c r="K65" s="127"/>
      <c r="L65" s="391"/>
      <c r="N65" s="1043"/>
      <c r="O65" s="1043"/>
      <c r="P65" s="1043"/>
      <c r="Q65" s="1043"/>
      <c r="S65" s="126"/>
      <c r="T65" s="126"/>
      <c r="V65" s="127"/>
    </row>
    <row r="66" spans="5:22" ht="24.95" customHeight="1">
      <c r="E66" s="391"/>
      <c r="F66" s="127"/>
      <c r="G66" s="127"/>
      <c r="H66" s="127"/>
      <c r="I66" s="127"/>
      <c r="J66" s="127"/>
      <c r="K66" s="127"/>
      <c r="L66" s="391"/>
      <c r="N66" s="1043"/>
      <c r="O66" s="1043"/>
      <c r="P66" s="1043"/>
      <c r="Q66" s="1043"/>
      <c r="S66" s="126"/>
      <c r="T66" s="126"/>
      <c r="V66" s="127"/>
    </row>
  </sheetData>
  <phoneticPr fontId="37" type="noConversion"/>
  <dataValidations count="1">
    <dataValidation type="list" allowBlank="1" showInputMessage="1" showErrorMessage="1" sqref="L8:L66" xr:uid="{00000000-0002-0000-0200-000000000000}">
      <formula1>uom_option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581" r:id="rId4" name="Button 5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38100</xdr:colOff>
                    <xdr:row>3</xdr:row>
                    <xdr:rowOff>114300</xdr:rowOff>
                  </from>
                  <to>
                    <xdr:col>3</xdr:col>
                    <xdr:colOff>123825</xdr:colOff>
                    <xdr:row>3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G18" sqref="G18"/>
    </sheetView>
  </sheetViews>
  <sheetFormatPr defaultRowHeight="21.95" customHeight="1"/>
  <cols>
    <col min="1" max="1" width="4" customWidth="1"/>
    <col min="2" max="2" width="3.42578125" customWidth="1"/>
    <col min="3" max="3" width="8.28515625" style="1193" customWidth="1"/>
    <col min="4" max="4" width="20.7109375" style="1193" customWidth="1"/>
    <col min="5" max="5" width="20.85546875" style="1193" customWidth="1"/>
    <col min="6" max="7" width="16.140625" style="1193" customWidth="1"/>
    <col min="8" max="8" width="20.5703125" style="1193" customWidth="1"/>
    <col min="9" max="9" width="18.140625" style="1193" bestFit="1" customWidth="1"/>
    <col min="10" max="10" width="15.42578125" style="1193" bestFit="1" customWidth="1"/>
    <col min="11" max="11" width="17.28515625" style="1525" customWidth="1"/>
    <col min="12" max="12" width="17.140625" style="1525" customWidth="1"/>
    <col min="13" max="13" width="20.85546875" style="1193" bestFit="1" customWidth="1"/>
    <col min="14" max="14" width="24.5703125" style="1193" customWidth="1"/>
    <col min="15" max="15" width="17.42578125" style="1193" customWidth="1"/>
    <col min="16" max="16" width="14.42578125" style="1193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3"/>
      <c r="I1" s="13"/>
      <c r="J1" s="13"/>
      <c r="K1" s="1287"/>
      <c r="L1" s="1287"/>
      <c r="M1" s="13"/>
      <c r="N1" s="13"/>
      <c r="O1" s="13"/>
      <c r="P1" s="13"/>
    </row>
    <row r="2" spans="3:16" ht="15" hidden="1">
      <c r="C2" s="13"/>
      <c r="D2" s="13"/>
      <c r="E2" s="13"/>
      <c r="F2" s="13"/>
      <c r="G2" s="13"/>
      <c r="H2" s="13"/>
      <c r="I2" s="13"/>
      <c r="J2" s="13"/>
      <c r="K2" s="1287"/>
      <c r="L2" s="1287"/>
      <c r="M2" s="13"/>
      <c r="N2" s="13"/>
      <c r="O2" s="13"/>
      <c r="P2" s="13"/>
    </row>
    <row r="3" spans="3:16" ht="15">
      <c r="C3" s="13"/>
      <c r="D3" s="13"/>
      <c r="E3" s="13"/>
      <c r="F3" s="13"/>
      <c r="G3" s="13"/>
      <c r="H3" s="13"/>
      <c r="I3" s="13"/>
      <c r="J3" s="13"/>
      <c r="K3" s="1287"/>
      <c r="L3" s="1287"/>
      <c r="M3" s="13"/>
      <c r="N3" s="13"/>
      <c r="O3" s="13"/>
      <c r="P3" s="13"/>
    </row>
    <row r="4" spans="3:16" ht="44.25">
      <c r="C4" s="1385" t="s">
        <v>2678</v>
      </c>
      <c r="D4" s="1527"/>
      <c r="E4" s="1527"/>
      <c r="F4" s="1527"/>
      <c r="G4" s="1527"/>
      <c r="H4" s="1527"/>
      <c r="I4" s="1527"/>
      <c r="J4" s="1527"/>
      <c r="K4" s="1528"/>
      <c r="L4" s="1528"/>
      <c r="M4" s="1527"/>
      <c r="N4" s="1527"/>
      <c r="O4" s="1527"/>
      <c r="P4" s="1527"/>
    </row>
    <row r="5" spans="3:16" ht="15">
      <c r="C5" s="13"/>
      <c r="D5" s="13"/>
      <c r="E5" s="13"/>
      <c r="F5" s="13"/>
      <c r="G5" s="13"/>
      <c r="H5" s="13"/>
      <c r="I5" s="13"/>
      <c r="J5" s="13"/>
      <c r="K5" s="1287"/>
      <c r="L5" s="1287"/>
      <c r="M5" s="13"/>
      <c r="N5" s="13"/>
      <c r="O5" s="13"/>
      <c r="P5" s="13"/>
    </row>
    <row r="6" spans="3:16" ht="28.5" customHeight="1">
      <c r="C6" s="1529" t="s">
        <v>59</v>
      </c>
      <c r="D6" s="1529" t="s">
        <v>2468</v>
      </c>
      <c r="E6" s="1529" t="s">
        <v>2675</v>
      </c>
      <c r="F6" s="1529" t="s">
        <v>2590</v>
      </c>
      <c r="G6" s="1529" t="s">
        <v>2602</v>
      </c>
      <c r="H6" s="1529" t="s">
        <v>2603</v>
      </c>
      <c r="I6" s="1529" t="s">
        <v>2680</v>
      </c>
      <c r="J6" s="1529" t="s">
        <v>2349</v>
      </c>
      <c r="K6" s="1529" t="s">
        <v>2591</v>
      </c>
      <c r="L6" s="1529" t="s">
        <v>2611</v>
      </c>
      <c r="M6" s="1529" t="s">
        <v>2676</v>
      </c>
      <c r="N6" s="1529" t="s">
        <v>839</v>
      </c>
      <c r="O6" s="1529" t="s">
        <v>1201</v>
      </c>
      <c r="P6" s="1529" t="s">
        <v>264</v>
      </c>
    </row>
    <row r="7" spans="3:16" ht="19.5" customHeight="1">
      <c r="C7" s="1479" t="s">
        <v>1901</v>
      </c>
      <c r="D7" s="1479" t="s">
        <v>337</v>
      </c>
      <c r="E7" s="1479" t="s">
        <v>762</v>
      </c>
      <c r="F7" s="1479" t="s">
        <v>343</v>
      </c>
      <c r="G7" s="1479" t="s">
        <v>837</v>
      </c>
      <c r="H7" s="1479" t="s">
        <v>92</v>
      </c>
      <c r="I7" s="1479" t="s">
        <v>2679</v>
      </c>
      <c r="J7" s="1479" t="s">
        <v>2681</v>
      </c>
      <c r="K7" s="1479" t="s">
        <v>2471</v>
      </c>
      <c r="L7" s="1479" t="s">
        <v>2472</v>
      </c>
      <c r="M7" s="1479" t="s">
        <v>822</v>
      </c>
      <c r="N7" s="1479" t="s">
        <v>824</v>
      </c>
      <c r="O7" s="1479" t="s">
        <v>389</v>
      </c>
      <c r="P7" s="1479" t="s">
        <v>212</v>
      </c>
    </row>
    <row r="8" spans="3:16" ht="21.95" customHeight="1">
      <c r="C8" s="1193">
        <v>1</v>
      </c>
      <c r="D8" s="1193">
        <v>1</v>
      </c>
      <c r="E8" s="1193" t="s">
        <v>2683</v>
      </c>
      <c r="F8" s="1193">
        <v>1</v>
      </c>
      <c r="G8" s="1193" t="s">
        <v>2604</v>
      </c>
      <c r="H8" s="1193" t="s">
        <v>2608</v>
      </c>
      <c r="I8" s="1193" t="s">
        <v>2344</v>
      </c>
      <c r="J8" s="1193">
        <v>72</v>
      </c>
      <c r="K8" s="1525">
        <v>12</v>
      </c>
      <c r="L8" s="1525">
        <v>18</v>
      </c>
      <c r="M8" s="1193" t="s">
        <v>2622</v>
      </c>
      <c r="N8" s="1526">
        <v>46183.69872685185</v>
      </c>
      <c r="O8" s="1193">
        <v>1</v>
      </c>
      <c r="P8" s="1193">
        <v>1</v>
      </c>
    </row>
    <row r="9" spans="3:16" ht="21.95" customHeight="1">
      <c r="N9" s="1526"/>
    </row>
    <row r="10" spans="3:16" ht="21.95" customHeight="1">
      <c r="N10" s="1526"/>
    </row>
    <row r="11" spans="3:16" ht="21.95" customHeight="1">
      <c r="N11" s="1526"/>
    </row>
    <row r="12" spans="3:16" ht="21.95" customHeight="1">
      <c r="N12" s="1526"/>
    </row>
    <row r="13" spans="3:16" ht="21.95" customHeight="1">
      <c r="N13" s="1526"/>
    </row>
    <row r="14" spans="3:16" ht="21.95" customHeight="1">
      <c r="N14" s="1526"/>
    </row>
    <row r="15" spans="3:16" ht="21.95" customHeight="1">
      <c r="N15" s="1526"/>
    </row>
    <row r="16" spans="3:16" ht="21.95" customHeight="1">
      <c r="N16" s="1526"/>
    </row>
    <row r="17" spans="14:14" ht="21.95" customHeight="1">
      <c r="N17" s="1526"/>
    </row>
    <row r="18" spans="14:14" ht="21.95" customHeight="1">
      <c r="N18" s="152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5729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1</xdr:col>
                    <xdr:colOff>219075</xdr:colOff>
                    <xdr:row>3</xdr:row>
                    <xdr:rowOff>66675</xdr:rowOff>
                  </from>
                  <to>
                    <xdr:col>3</xdr:col>
                    <xdr:colOff>857250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7"/>
  <sheetViews>
    <sheetView showGridLines="0" topLeftCell="A3" zoomScale="90" zoomScaleNormal="90" workbookViewId="0">
      <pane ySplit="5" topLeftCell="A8" activePane="bottomLeft" state="frozen"/>
      <selection pane="bottomLeft" activeCell="H19" sqref="H19"/>
    </sheetView>
  </sheetViews>
  <sheetFormatPr defaultRowHeight="21.95" customHeight="1"/>
  <cols>
    <col min="1" max="1" width="9.140625" style="1193"/>
    <col min="2" max="2" width="3.28515625" style="1193" customWidth="1"/>
    <col min="3" max="3" width="6.85546875" style="1193" customWidth="1"/>
    <col min="4" max="4" width="14.42578125" style="1193" customWidth="1"/>
    <col min="5" max="5" width="13.7109375" style="1193" customWidth="1"/>
    <col min="6" max="6" width="19.5703125" style="260" customWidth="1"/>
    <col min="7" max="7" width="12.5703125" style="1193" customWidth="1"/>
    <col min="8" max="8" width="17.140625" style="1193" customWidth="1"/>
    <col min="9" max="9" width="12.140625" style="1193" customWidth="1"/>
    <col min="10" max="10" width="15.7109375" style="260" customWidth="1"/>
    <col min="11" max="11" width="20.7109375" style="260" customWidth="1"/>
    <col min="12" max="12" width="16" style="1193" customWidth="1"/>
    <col min="13" max="13" width="15.42578125" style="1193" customWidth="1"/>
    <col min="14" max="14" width="15.28515625" style="1193" customWidth="1"/>
    <col min="15" max="15" width="14.140625" style="1193" customWidth="1"/>
    <col min="16" max="16" width="14" style="1193" customWidth="1"/>
    <col min="17" max="17" width="12.28515625" style="1193" customWidth="1"/>
    <col min="18" max="18" width="24.5703125" style="1524" customWidth="1"/>
    <col min="19" max="19" width="18.5703125" style="1193" customWidth="1"/>
    <col min="20" max="20" width="16.5703125" style="1193" customWidth="1"/>
    <col min="21" max="22" width="9.140625" style="1193" customWidth="1"/>
    <col min="23" max="16384" width="9.140625" style="1193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1530" t="s">
        <v>2677</v>
      </c>
      <c r="D4" s="1531"/>
      <c r="E4" s="1531"/>
      <c r="F4" s="1531"/>
      <c r="G4" s="1531"/>
      <c r="H4" s="1531"/>
      <c r="I4" s="1531"/>
      <c r="J4" s="1531"/>
      <c r="K4" s="1531"/>
      <c r="L4" s="1531"/>
      <c r="M4" s="1531"/>
      <c r="N4" s="1531"/>
      <c r="O4" s="1531"/>
      <c r="P4" s="1531"/>
      <c r="Q4" s="1531"/>
      <c r="R4" s="1531"/>
      <c r="S4" s="1531"/>
      <c r="T4" s="1531"/>
    </row>
    <row r="5" spans="3:20" customFormat="1" ht="15">
      <c r="F5" s="139"/>
      <c r="J5" s="139"/>
      <c r="K5" s="139"/>
    </row>
    <row r="6" spans="3:20" customFormat="1" ht="23.25">
      <c r="C6" s="1523" t="s">
        <v>59</v>
      </c>
      <c r="D6" s="1523" t="s">
        <v>2590</v>
      </c>
      <c r="E6" s="1523" t="s">
        <v>2602</v>
      </c>
      <c r="F6" s="1523" t="s">
        <v>2603</v>
      </c>
      <c r="G6" s="1523" t="s">
        <v>258</v>
      </c>
      <c r="H6" s="1523" t="s">
        <v>889</v>
      </c>
      <c r="I6" s="1523" t="s">
        <v>75</v>
      </c>
      <c r="J6" s="1523" t="s">
        <v>1759</v>
      </c>
      <c r="K6" s="1523" t="s">
        <v>889</v>
      </c>
      <c r="L6" s="1523" t="s">
        <v>2591</v>
      </c>
      <c r="M6" s="1523" t="s">
        <v>2592</v>
      </c>
      <c r="N6" s="1523" t="s">
        <v>2593</v>
      </c>
      <c r="O6" s="1523" t="s">
        <v>60</v>
      </c>
      <c r="P6" s="1523" t="s">
        <v>2594</v>
      </c>
      <c r="Q6" s="1523" t="s">
        <v>369</v>
      </c>
      <c r="R6" s="1523" t="s">
        <v>839</v>
      </c>
      <c r="S6" s="1523" t="s">
        <v>1201</v>
      </c>
      <c r="T6" s="1523" t="s">
        <v>264</v>
      </c>
    </row>
    <row r="7" spans="3:20" customFormat="1" ht="15">
      <c r="C7" s="1479" t="s">
        <v>10</v>
      </c>
      <c r="D7" s="1479" t="s">
        <v>343</v>
      </c>
      <c r="E7" s="1479" t="s">
        <v>837</v>
      </c>
      <c r="F7" s="1479" t="s">
        <v>92</v>
      </c>
      <c r="G7" s="1479" t="s">
        <v>320</v>
      </c>
      <c r="H7" s="1479" t="s">
        <v>1727</v>
      </c>
      <c r="I7" s="1479" t="s">
        <v>405</v>
      </c>
      <c r="J7" s="1479" t="s">
        <v>2669</v>
      </c>
      <c r="K7" s="1479" t="s">
        <v>2668</v>
      </c>
      <c r="L7" s="1479" t="s">
        <v>2473</v>
      </c>
      <c r="M7" s="1479" t="s">
        <v>2474</v>
      </c>
      <c r="N7" s="1479" t="s">
        <v>1718</v>
      </c>
      <c r="O7" s="1479" t="s">
        <v>2475</v>
      </c>
      <c r="P7" s="1479" t="s">
        <v>2476</v>
      </c>
      <c r="Q7" s="1479" t="s">
        <v>2477</v>
      </c>
      <c r="R7" s="1479" t="s">
        <v>824</v>
      </c>
      <c r="S7" s="1479" t="s">
        <v>389</v>
      </c>
      <c r="T7" s="1479" t="s">
        <v>2023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6753" r:id="rId4" name="Button 1">
              <controlPr defaultSize="0" print="0" autoFill="0" autoPict="0" macro="[0]!goToHome" altText="ទំព័រដើម">
                <anchor moveWithCells="1" siz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3</xdr:col>
                    <xdr:colOff>866775</xdr:colOff>
                    <xdr:row>3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37"/>
  <sheetViews>
    <sheetView showGridLines="0" zoomScale="80" zoomScaleNormal="80" workbookViewId="0">
      <pane ySplit="27" topLeftCell="A28" activePane="bottomLeft" state="frozen"/>
      <selection pane="bottomLeft" activeCell="E34" sqref="E34"/>
    </sheetView>
  </sheetViews>
  <sheetFormatPr defaultRowHeight="21.95" customHeight="1"/>
  <cols>
    <col min="1" max="1" width="2.5703125" style="204" customWidth="1"/>
    <col min="2" max="2" width="3.42578125" style="223" customWidth="1"/>
    <col min="3" max="3" width="7.85546875" style="204" customWidth="1"/>
    <col min="4" max="5" width="17.7109375" style="204" customWidth="1"/>
    <col min="6" max="6" width="24.5703125" style="260" bestFit="1" customWidth="1"/>
    <col min="7" max="7" width="12.28515625" style="204" bestFit="1" customWidth="1"/>
    <col min="8" max="8" width="15.42578125" style="204" customWidth="1"/>
    <col min="9" max="9" width="21.85546875" style="204" customWidth="1"/>
    <col min="10" max="11" width="21.85546875" style="260" customWidth="1"/>
    <col min="12" max="12" width="15.140625" style="1451" bestFit="1" customWidth="1"/>
    <col min="13" max="13" width="17.28515625" style="1451" bestFit="1" customWidth="1"/>
    <col min="14" max="14" width="19.140625" style="1539" customWidth="1"/>
    <col min="15" max="15" width="21.28515625" style="204" customWidth="1"/>
    <col min="16" max="16" width="20.140625" style="204" bestFit="1" customWidth="1"/>
    <col min="17" max="17" width="26.42578125" style="204" customWidth="1"/>
    <col min="18" max="18" width="25.7109375" style="1485" customWidth="1"/>
    <col min="19" max="19" width="20.5703125" style="204" customWidth="1"/>
    <col min="20" max="20" width="21.85546875" style="204" bestFit="1" customWidth="1"/>
    <col min="21" max="21" width="19.140625" style="204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8" max="28" width="9.140625" style="204"/>
    <col min="29" max="29" width="19.42578125" style="204" bestFit="1" customWidth="1"/>
    <col min="30" max="30" width="19.7109375" style="204" customWidth="1"/>
    <col min="31" max="16384" width="9.140625" style="204"/>
  </cols>
  <sheetData>
    <row r="1" spans="2:27" ht="7.5" customHeight="1">
      <c r="F1" s="204"/>
      <c r="J1" s="204"/>
      <c r="K1" s="204"/>
      <c r="N1" s="1451"/>
      <c r="R1" s="204"/>
    </row>
    <row r="2" spans="2:27" s="480" customFormat="1" ht="44.25">
      <c r="B2" s="1521"/>
      <c r="C2" s="1491" t="s">
        <v>2674</v>
      </c>
      <c r="L2" s="1492"/>
      <c r="M2" s="1492"/>
      <c r="N2" s="1492"/>
      <c r="T2" s="255"/>
      <c r="V2"/>
      <c r="W2"/>
      <c r="X2"/>
      <c r="Y2"/>
      <c r="Z2"/>
      <c r="AA2"/>
    </row>
    <row r="3" spans="2:27" ht="9.75" customHeight="1">
      <c r="F3" s="204"/>
      <c r="J3" s="204"/>
      <c r="K3" s="204"/>
      <c r="N3" s="1451"/>
      <c r="R3" s="204"/>
      <c r="T3" s="255"/>
    </row>
    <row r="4" spans="2:27" ht="30" customHeight="1">
      <c r="C4" s="1869" t="s">
        <v>2598</v>
      </c>
      <c r="D4" s="1869"/>
      <c r="E4" s="1866" t="s">
        <v>2607</v>
      </c>
      <c r="F4" s="1867"/>
      <c r="G4" s="1868"/>
      <c r="H4" s="204">
        <f>IF(E4="","",MID(E4,1,5)*1)</f>
        <v>1</v>
      </c>
      <c r="I4" s="471" t="s">
        <v>2655</v>
      </c>
      <c r="J4" s="1504" t="str">
        <f>IF(E4="","",VLOOKUP(MID(E4,1,5)*1,product_list,11,FALSE))</f>
        <v>014.Case/6boxs</v>
      </c>
      <c r="K4" s="204">
        <f>IF(E4="","",MID(J4,1,3)*1)</f>
        <v>14</v>
      </c>
      <c r="N4" s="204"/>
      <c r="R4" s="204"/>
      <c r="T4" s="255"/>
    </row>
    <row r="5" spans="2:27" ht="9" customHeight="1">
      <c r="F5" s="204"/>
      <c r="J5" s="204"/>
      <c r="K5" s="204"/>
      <c r="N5" s="1451"/>
      <c r="R5" s="204"/>
    </row>
    <row r="6" spans="2:27" ht="30" customHeight="1">
      <c r="C6" s="1869" t="s">
        <v>2597</v>
      </c>
      <c r="D6" s="1869"/>
      <c r="E6" s="1870" t="s">
        <v>2400</v>
      </c>
      <c r="F6" s="1871"/>
      <c r="G6" s="1872"/>
      <c r="H6" s="204">
        <f>MID(E6,1,2)*1</f>
        <v>1</v>
      </c>
      <c r="I6" s="471" t="s">
        <v>2672</v>
      </c>
      <c r="J6" s="1501" t="s">
        <v>2665</v>
      </c>
      <c r="K6" s="1502" t="s">
        <v>2666</v>
      </c>
      <c r="L6" s="1503" t="s">
        <v>2667</v>
      </c>
      <c r="N6" s="1451"/>
    </row>
    <row r="7" spans="2:27" ht="9" customHeight="1">
      <c r="F7" s="204"/>
      <c r="J7" s="204"/>
      <c r="K7" s="204"/>
      <c r="L7" s="204"/>
      <c r="M7" s="204"/>
      <c r="N7" s="204"/>
      <c r="R7" s="204"/>
    </row>
    <row r="8" spans="2:27" ht="27.75" customHeight="1">
      <c r="B8" s="1522" t="s">
        <v>2656</v>
      </c>
      <c r="C8" s="1486" t="s">
        <v>59</v>
      </c>
      <c r="D8" s="1486" t="s">
        <v>889</v>
      </c>
      <c r="E8" s="1494"/>
      <c r="F8" s="1486" t="s">
        <v>76</v>
      </c>
      <c r="G8" s="1486" t="s">
        <v>2601</v>
      </c>
      <c r="H8" s="1486"/>
      <c r="I8" s="1487">
        <f>IF(product_price_uom_id="","",product_price_uom_id)</f>
        <v>14</v>
      </c>
      <c r="J8" s="1488">
        <f>IF(OR(product_price_pid="",ISNA(VLOOKUP(product_price_uom_id,uom_converion_list,2,FALSE))),"",VLOOKUP(product_price_uom_id,uom_converion_list,2,FALSE))</f>
        <v>9</v>
      </c>
      <c r="K8" s="1489">
        <f>IF(AND(N9&gt;0,COUNTIFS(UomConversion!$D$8:$D$500,product_price_uom_id,UomConversion!$J$8:$J$500,1)&gt;1),N9,"")</f>
        <v>2</v>
      </c>
      <c r="L8" s="1489"/>
      <c r="M8" s="1489"/>
      <c r="N8" s="1493" t="s">
        <v>2355</v>
      </c>
      <c r="O8" s="1493" t="s">
        <v>2663</v>
      </c>
      <c r="P8" s="1493" t="s">
        <v>2662</v>
      </c>
      <c r="Q8" s="1493" t="s">
        <v>2671</v>
      </c>
      <c r="R8" s="1493" t="s">
        <v>2661</v>
      </c>
      <c r="S8" s="1493" t="s">
        <v>2660</v>
      </c>
      <c r="T8" s="1493" t="s">
        <v>2684</v>
      </c>
      <c r="U8" s="1493" t="s">
        <v>2684</v>
      </c>
      <c r="V8" s="1493" t="s">
        <v>2684</v>
      </c>
      <c r="W8" s="1493" t="s">
        <v>2685</v>
      </c>
    </row>
    <row r="9" spans="2:27" ht="21.75" customHeight="1" thickBot="1">
      <c r="B9" s="1522"/>
      <c r="C9" s="1496" t="s">
        <v>10</v>
      </c>
      <c r="D9" s="1496" t="s">
        <v>2599</v>
      </c>
      <c r="E9" s="1497"/>
      <c r="F9" s="1498" t="s">
        <v>94</v>
      </c>
      <c r="G9" s="1496" t="s">
        <v>2600</v>
      </c>
      <c r="H9" s="1496"/>
      <c r="I9" s="1505" t="str">
        <f>IF(J4="","",MID(J4,5,100))</f>
        <v>Case/6boxs</v>
      </c>
      <c r="J9" s="1495" t="str">
        <f>IF(OR(product_price_pid="",ISNA(VLOOKUP(product_price_uom_id,uom_converion_list,2,FALSE))),"",VLOOKUP(VLOOKUP(product_price_uom_id,uom_converion_list,2,FALSE),uom_list,4,FALSE))</f>
        <v>Box</v>
      </c>
      <c r="K9" s="1505" t="str">
        <f>IF(AND(N10&gt;0,COUNTIFS(UomConversion!$D$8:$D$500,product_price_uom_id,UomConversion!$J$8:$J$500,1)&gt;1),VLOOKUP(N10,uom_list,4,FALSE),"")</f>
        <v>PCS</v>
      </c>
      <c r="L9" s="1505"/>
      <c r="M9" s="1505"/>
      <c r="N9" s="1490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9" s="1490" t="s">
        <v>2657</v>
      </c>
      <c r="P9" s="1490" t="s">
        <v>2658</v>
      </c>
      <c r="Q9" s="1490" t="s">
        <v>2670</v>
      </c>
      <c r="R9" s="1490" t="s">
        <v>2659</v>
      </c>
      <c r="S9" s="1490" t="s">
        <v>2477</v>
      </c>
      <c r="T9" s="1490" t="str">
        <f>I9</f>
        <v>Case/6boxs</v>
      </c>
      <c r="U9" s="1490" t="str">
        <f>J9</f>
        <v>Box</v>
      </c>
      <c r="V9" s="1490" t="str">
        <f>K9</f>
        <v>PCS</v>
      </c>
      <c r="W9" s="1490" t="s">
        <v>2673</v>
      </c>
    </row>
    <row r="10" spans="2:27" ht="24.95" customHeight="1">
      <c r="B10" s="223">
        <f>IF(D10="","",MID(D10,1,2)*1)</f>
        <v>1</v>
      </c>
      <c r="C10" s="1516">
        <f>IF(D10="","",1)</f>
        <v>1</v>
      </c>
      <c r="D10" s="1610" t="s">
        <v>23</v>
      </c>
      <c r="E10" s="1611"/>
      <c r="F10" s="1517">
        <f t="shared" ref="F10:F21" si="0">IF(OR(product_price_pid="",D10=""),"",VLOOKUP(product_price_pid,product_list,12,FALSE))</f>
        <v>18</v>
      </c>
      <c r="G10" s="1863">
        <f>IF(OR(B10="",product_price_pid="",product_price_uom_id=""),"",SUMIFS(N28:N10000,D28:D10000,product_price_pid,G28:G10000,product_price_branch_id,H28:H10000,B10,I28:I10000,product_price_uom_id,Q28:Q10000,MID(S10,1,1)*1,T28:T10000,1))</f>
        <v>0</v>
      </c>
      <c r="H10" s="1864"/>
      <c r="I10" s="1506"/>
      <c r="J10" s="1507"/>
      <c r="K10" s="1507"/>
      <c r="L10" s="1508"/>
      <c r="M10" s="1509"/>
      <c r="N10" s="1519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10" s="1520">
        <f t="shared" ref="O10" si="1">IF(OR(D10="",product_price_pid=""),"",COUNT($I$8:$M$8))</f>
        <v>3</v>
      </c>
      <c r="P10" s="1520" t="str">
        <f>IF(D10="","",_xlfn.TEXTJOIN(";",TRUE,$I$8:$M$8))</f>
        <v>14;9;2</v>
      </c>
      <c r="Q10" s="1538" t="str">
        <f>IF(D10="","",_xlfn.TEXTJOIN(";",TRUE,$I$9:$M$9))</f>
        <v>Case/6boxs;Box;PCS</v>
      </c>
      <c r="R10" s="1520" t="str">
        <f>IF(D10="","",IF(I10&lt;&gt;"",I10,0)&amp;";"&amp;IF(J10&lt;&gt;"",J10,0)&amp;";"&amp;IF(K10&lt;&gt;"",K10,0))</f>
        <v>0;0;0</v>
      </c>
      <c r="S10" s="1516" t="s">
        <v>2665</v>
      </c>
      <c r="T10" s="1541">
        <f t="shared" ref="T10" si="2">IF(OR(B10="",product_price_pid="",product_price_uom_id=""),"",SUMIFS(N28:N10000,D28:D10000,product_price_pid,G28:G10000,product_price_branch_id,H28:H10000,B10,I28:I10000,product_price_uom_id,Q28:Q10000,MID(S10,1,1)*1,T28:T10000,1))</f>
        <v>0</v>
      </c>
      <c r="U10" s="1541">
        <f t="shared" ref="U10:U21" si="3">IF(OR(B10="",product_price_pid="",$J$8=""),"",SUMIFS(N28:N10000,D28:D10000,product_price_pid,G28:G10000,product_price_branch_id,H28:H10000,B10,I28:I10000,$J$8,Q28:Q10000,MID(S10,1,1)*1,T28:T10000,1))</f>
        <v>0</v>
      </c>
      <c r="V10" s="1541">
        <f t="shared" ref="V10" si="4">IF(OR(B10="",product_price_pid="",$K$8=""),"",SUMIFS(N28:N10000,D28:D10000,product_price_pid,G28:G10000,product_price_branch_id,H28:H10000,B10,I28:I10000,$K$8,Q28:Q10000,MID(S10,1,1)*1,T28:T10000,1))</f>
        <v>0</v>
      </c>
      <c r="W10" s="1541" t="str">
        <f>IF(D10="","",_xlfn.TEXTJOIN(";",TRUE,T10:V10))</f>
        <v>0;0;0</v>
      </c>
    </row>
    <row r="11" spans="2:27" ht="24.95" customHeight="1">
      <c r="B11" s="223">
        <f t="shared" ref="B11:B21" si="5">IF(D11="","",MID(D11,1,2)*1)</f>
        <v>2</v>
      </c>
      <c r="C11" s="1516">
        <f>IF(D11="","",C10+1)</f>
        <v>2</v>
      </c>
      <c r="D11" s="1610" t="s">
        <v>28</v>
      </c>
      <c r="E11" s="1611"/>
      <c r="F11" s="1517">
        <f t="shared" si="0"/>
        <v>18</v>
      </c>
      <c r="G11" s="1863">
        <f t="shared" ref="G11:G21" si="6">IF(OR(B11="",product_price_pid="",product_price_uom_id=""),"",SUMIFS(N29:N10001,D29:D10001,product_price_pid,G29:G10001,product_price_branch_id,H29:H10001,B11,I29:I10001,product_price_uom_id,Q29:Q10001,MID(S11,1,1)*1,T29:T10001,1))</f>
        <v>0</v>
      </c>
      <c r="H11" s="1864"/>
      <c r="I11" s="1510"/>
      <c r="J11" s="1481"/>
      <c r="K11" s="1481"/>
      <c r="L11" s="1482"/>
      <c r="M11" s="1511"/>
      <c r="N11" s="1519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>2</v>
      </c>
      <c r="O11" s="1520">
        <f t="shared" ref="O11:O21" si="7">IF(OR(D11="",product_price_pid=""),"",COUNT($I$8:$M$8))</f>
        <v>3</v>
      </c>
      <c r="P11" s="1520" t="str">
        <f t="shared" ref="P11:P21" si="8">IF(D11="","",_xlfn.TEXTJOIN(";",TRUE,$I$8:$M$8))</f>
        <v>14;9;2</v>
      </c>
      <c r="Q11" s="1538" t="str">
        <f t="shared" ref="Q11:Q21" si="9">IF(D11="","",_xlfn.TEXTJOIN(";",TRUE,$I$9:$M$9))</f>
        <v>Case/6boxs;Box;PCS</v>
      </c>
      <c r="R11" s="1520" t="str">
        <f t="shared" ref="R11:R21" si="10">IF(D11="","",IF(I11&lt;&gt;"",I11,0)&amp;";"&amp;IF(J11&lt;&gt;"",J11,0)&amp;";"&amp;IF(K11&lt;&gt;"",K11,0))</f>
        <v>0;0;0</v>
      </c>
      <c r="S11" s="1516" t="s">
        <v>2665</v>
      </c>
      <c r="T11" s="1541">
        <f t="shared" ref="T11:T21" si="11">IF(OR(B11="",product_price_pid="",product_price_uom_id=""),"",SUMIFS(N29:N10001,D29:D10001,product_price_pid,G29:G10001,product_price_branch_id,H29:H10001,B11,I29:I10001,product_price_uom_id,Q29:Q10001,MID(S11,1,1)*1,T29:T10001,1))</f>
        <v>0</v>
      </c>
      <c r="U11" s="1541">
        <f t="shared" si="3"/>
        <v>0</v>
      </c>
      <c r="V11" s="1541">
        <f t="shared" ref="V11:V21" si="12">IF(OR(B11="",product_price_pid="",$K$8=""),"",SUMIFS(N29:N10001,D29:D10001,product_price_pid,G29:G10001,product_price_branch_id,H29:H10001,B11,I29:I10001,$K$8,Q29:Q10001,MID(S11,1,1)*1,T29:T10001,1))</f>
        <v>0</v>
      </c>
      <c r="W11" s="1541" t="str">
        <f t="shared" ref="W11:W21" si="13">IF(D11="","",_xlfn.TEXTJOIN(";",TRUE,T11:V11))</f>
        <v>0;0;0</v>
      </c>
    </row>
    <row r="12" spans="2:27" ht="24.95" customHeight="1">
      <c r="B12" s="223" t="str">
        <f t="shared" si="5"/>
        <v/>
      </c>
      <c r="C12" s="1516" t="str">
        <f t="shared" ref="C12:C21" si="14">IF(D12="","",C11+1)</f>
        <v/>
      </c>
      <c r="D12" s="1610"/>
      <c r="E12" s="1611"/>
      <c r="F12" s="1517" t="str">
        <f t="shared" si="0"/>
        <v/>
      </c>
      <c r="G12" s="1863" t="str">
        <f t="shared" si="6"/>
        <v/>
      </c>
      <c r="H12" s="1864"/>
      <c r="I12" s="1510"/>
      <c r="J12" s="1500"/>
      <c r="K12" s="1500"/>
      <c r="L12" s="1482"/>
      <c r="M12" s="1511"/>
      <c r="N12" s="1519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1520" t="str">
        <f t="shared" si="7"/>
        <v/>
      </c>
      <c r="P12" s="1520" t="str">
        <f t="shared" si="8"/>
        <v/>
      </c>
      <c r="Q12" s="1538" t="str">
        <f t="shared" si="9"/>
        <v/>
      </c>
      <c r="R12" s="1520" t="str">
        <f t="shared" si="10"/>
        <v/>
      </c>
      <c r="S12" s="1516"/>
      <c r="T12" s="1541" t="str">
        <f t="shared" si="11"/>
        <v/>
      </c>
      <c r="U12" s="1541" t="str">
        <f t="shared" si="3"/>
        <v/>
      </c>
      <c r="V12" s="1541" t="str">
        <f t="shared" si="12"/>
        <v/>
      </c>
      <c r="W12" s="1541" t="str">
        <f t="shared" si="13"/>
        <v/>
      </c>
    </row>
    <row r="13" spans="2:27" ht="24.75" customHeight="1">
      <c r="B13" s="223" t="str">
        <f t="shared" si="5"/>
        <v/>
      </c>
      <c r="C13" s="1516" t="str">
        <f t="shared" si="14"/>
        <v/>
      </c>
      <c r="D13" s="1610"/>
      <c r="E13" s="1611"/>
      <c r="F13" s="1517" t="str">
        <f t="shared" si="0"/>
        <v/>
      </c>
      <c r="G13" s="1863" t="str">
        <f t="shared" si="6"/>
        <v/>
      </c>
      <c r="H13" s="1864"/>
      <c r="I13" s="1510"/>
      <c r="J13" s="1500"/>
      <c r="K13" s="1500"/>
      <c r="L13" s="1482"/>
      <c r="M13" s="1511"/>
      <c r="N13" s="1519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1520" t="str">
        <f t="shared" si="7"/>
        <v/>
      </c>
      <c r="P13" s="1520" t="str">
        <f t="shared" si="8"/>
        <v/>
      </c>
      <c r="Q13" s="1538" t="str">
        <f t="shared" si="9"/>
        <v/>
      </c>
      <c r="R13" s="1520" t="str">
        <f t="shared" si="10"/>
        <v/>
      </c>
      <c r="S13" s="1516"/>
      <c r="T13" s="1541" t="str">
        <f t="shared" si="11"/>
        <v/>
      </c>
      <c r="U13" s="1541" t="str">
        <f t="shared" si="3"/>
        <v/>
      </c>
      <c r="V13" s="1541" t="str">
        <f t="shared" si="12"/>
        <v/>
      </c>
      <c r="W13" s="1541" t="str">
        <f t="shared" si="13"/>
        <v/>
      </c>
    </row>
    <row r="14" spans="2:27" ht="21.95" hidden="1" customHeight="1">
      <c r="B14" s="223" t="str">
        <f t="shared" si="5"/>
        <v/>
      </c>
      <c r="C14" s="1516" t="str">
        <f t="shared" si="14"/>
        <v/>
      </c>
      <c r="D14" s="1610"/>
      <c r="E14" s="1611"/>
      <c r="F14" s="1518" t="str">
        <f t="shared" si="0"/>
        <v/>
      </c>
      <c r="G14" s="1863" t="str">
        <f t="shared" si="6"/>
        <v/>
      </c>
      <c r="H14" s="1864"/>
      <c r="I14" s="1510"/>
      <c r="J14" s="1500"/>
      <c r="K14" s="1500"/>
      <c r="L14" s="1482"/>
      <c r="M14" s="1511"/>
      <c r="N14" s="1519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1520" t="str">
        <f t="shared" si="7"/>
        <v/>
      </c>
      <c r="P14" s="1520" t="str">
        <f t="shared" si="8"/>
        <v/>
      </c>
      <c r="Q14" s="1538" t="str">
        <f t="shared" si="9"/>
        <v/>
      </c>
      <c r="R14" s="1520" t="str">
        <f t="shared" si="10"/>
        <v/>
      </c>
      <c r="S14" s="1516"/>
      <c r="T14" s="1541" t="str">
        <f t="shared" si="11"/>
        <v/>
      </c>
      <c r="U14" s="1541" t="str">
        <f t="shared" si="3"/>
        <v/>
      </c>
      <c r="V14" s="1541" t="str">
        <f t="shared" si="12"/>
        <v/>
      </c>
      <c r="W14" s="1541" t="str">
        <f t="shared" si="13"/>
        <v/>
      </c>
    </row>
    <row r="15" spans="2:27" ht="21.95" hidden="1" customHeight="1">
      <c r="B15" s="223" t="str">
        <f t="shared" si="5"/>
        <v/>
      </c>
      <c r="C15" s="1516" t="str">
        <f t="shared" si="14"/>
        <v/>
      </c>
      <c r="D15" s="1610"/>
      <c r="E15" s="1611"/>
      <c r="F15" s="1518" t="str">
        <f t="shared" si="0"/>
        <v/>
      </c>
      <c r="G15" s="1863" t="str">
        <f t="shared" si="6"/>
        <v/>
      </c>
      <c r="H15" s="1864"/>
      <c r="I15" s="1510"/>
      <c r="J15" s="1500"/>
      <c r="K15" s="1500"/>
      <c r="L15" s="1482"/>
      <c r="M15" s="1511"/>
      <c r="N15" s="1519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1520" t="str">
        <f t="shared" si="7"/>
        <v/>
      </c>
      <c r="P15" s="1520" t="str">
        <f t="shared" si="8"/>
        <v/>
      </c>
      <c r="Q15" s="1538" t="str">
        <f t="shared" si="9"/>
        <v/>
      </c>
      <c r="R15" s="1520" t="str">
        <f t="shared" si="10"/>
        <v/>
      </c>
      <c r="S15" s="1516"/>
      <c r="T15" s="1541" t="str">
        <f t="shared" si="11"/>
        <v/>
      </c>
      <c r="U15" s="1541" t="str">
        <f t="shared" si="3"/>
        <v/>
      </c>
      <c r="V15" s="1541" t="str">
        <f t="shared" si="12"/>
        <v/>
      </c>
      <c r="W15" s="1541" t="str">
        <f t="shared" si="13"/>
        <v/>
      </c>
    </row>
    <row r="16" spans="2:27" ht="21.95" hidden="1" customHeight="1">
      <c r="B16" s="223" t="str">
        <f t="shared" si="5"/>
        <v/>
      </c>
      <c r="C16" s="1516" t="str">
        <f t="shared" si="14"/>
        <v/>
      </c>
      <c r="D16" s="1610"/>
      <c r="E16" s="1611"/>
      <c r="F16" s="1518" t="str">
        <f t="shared" si="0"/>
        <v/>
      </c>
      <c r="G16" s="1863" t="str">
        <f t="shared" si="6"/>
        <v/>
      </c>
      <c r="H16" s="1864"/>
      <c r="I16" s="1510"/>
      <c r="J16" s="1500"/>
      <c r="K16" s="1500"/>
      <c r="L16" s="1482"/>
      <c r="M16" s="1511"/>
      <c r="N16" s="1519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1520" t="str">
        <f t="shared" si="7"/>
        <v/>
      </c>
      <c r="P16" s="1520" t="str">
        <f t="shared" si="8"/>
        <v/>
      </c>
      <c r="Q16" s="1538" t="str">
        <f t="shared" si="9"/>
        <v/>
      </c>
      <c r="R16" s="1520" t="str">
        <f t="shared" si="10"/>
        <v/>
      </c>
      <c r="S16" s="1516"/>
      <c r="T16" s="1541" t="str">
        <f t="shared" si="11"/>
        <v/>
      </c>
      <c r="U16" s="1541" t="str">
        <f t="shared" si="3"/>
        <v/>
      </c>
      <c r="V16" s="1541" t="str">
        <f t="shared" si="12"/>
        <v/>
      </c>
      <c r="W16" s="1541" t="str">
        <f t="shared" si="13"/>
        <v/>
      </c>
    </row>
    <row r="17" spans="2:30" ht="21.95" hidden="1" customHeight="1">
      <c r="B17" s="223" t="str">
        <f t="shared" si="5"/>
        <v/>
      </c>
      <c r="C17" s="1516" t="str">
        <f t="shared" si="14"/>
        <v/>
      </c>
      <c r="D17" s="1610"/>
      <c r="E17" s="1611"/>
      <c r="F17" s="1518" t="str">
        <f t="shared" si="0"/>
        <v/>
      </c>
      <c r="G17" s="1863" t="str">
        <f t="shared" si="6"/>
        <v/>
      </c>
      <c r="H17" s="1864"/>
      <c r="I17" s="1510"/>
      <c r="J17" s="1500"/>
      <c r="K17" s="1500"/>
      <c r="L17" s="1482"/>
      <c r="M17" s="1511"/>
      <c r="N17" s="1519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1520" t="str">
        <f t="shared" si="7"/>
        <v/>
      </c>
      <c r="P17" s="1520" t="str">
        <f t="shared" si="8"/>
        <v/>
      </c>
      <c r="Q17" s="1538" t="str">
        <f t="shared" si="9"/>
        <v/>
      </c>
      <c r="R17" s="1520" t="str">
        <f t="shared" si="10"/>
        <v/>
      </c>
      <c r="S17" s="1516"/>
      <c r="T17" s="1541" t="str">
        <f t="shared" si="11"/>
        <v/>
      </c>
      <c r="U17" s="1541" t="str">
        <f t="shared" si="3"/>
        <v/>
      </c>
      <c r="V17" s="1541" t="str">
        <f t="shared" si="12"/>
        <v/>
      </c>
      <c r="W17" s="1541" t="str">
        <f t="shared" si="13"/>
        <v/>
      </c>
    </row>
    <row r="18" spans="2:30" ht="21.95" hidden="1" customHeight="1">
      <c r="B18" s="223" t="str">
        <f t="shared" si="5"/>
        <v/>
      </c>
      <c r="C18" s="1516" t="str">
        <f t="shared" si="14"/>
        <v/>
      </c>
      <c r="D18" s="1610"/>
      <c r="E18" s="1611"/>
      <c r="F18" s="1518" t="str">
        <f t="shared" si="0"/>
        <v/>
      </c>
      <c r="G18" s="1863" t="str">
        <f t="shared" si="6"/>
        <v/>
      </c>
      <c r="H18" s="1864"/>
      <c r="I18" s="1510"/>
      <c r="J18" s="1500"/>
      <c r="K18" s="1500"/>
      <c r="L18" s="1482"/>
      <c r="M18" s="1511"/>
      <c r="N18" s="1519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1520" t="str">
        <f t="shared" si="7"/>
        <v/>
      </c>
      <c r="P18" s="1520" t="str">
        <f t="shared" si="8"/>
        <v/>
      </c>
      <c r="Q18" s="1538" t="str">
        <f t="shared" si="9"/>
        <v/>
      </c>
      <c r="R18" s="1520" t="str">
        <f t="shared" si="10"/>
        <v/>
      </c>
      <c r="S18" s="1516"/>
      <c r="T18" s="1541" t="str">
        <f t="shared" si="11"/>
        <v/>
      </c>
      <c r="U18" s="1541" t="str">
        <f t="shared" si="3"/>
        <v/>
      </c>
      <c r="V18" s="1541" t="str">
        <f t="shared" si="12"/>
        <v/>
      </c>
      <c r="W18" s="1541" t="str">
        <f t="shared" si="13"/>
        <v/>
      </c>
    </row>
    <row r="19" spans="2:30" ht="21.95" hidden="1" customHeight="1">
      <c r="B19" s="223" t="str">
        <f t="shared" si="5"/>
        <v/>
      </c>
      <c r="C19" s="1516" t="str">
        <f t="shared" si="14"/>
        <v/>
      </c>
      <c r="D19" s="1610"/>
      <c r="E19" s="1611"/>
      <c r="F19" s="1518" t="str">
        <f t="shared" si="0"/>
        <v/>
      </c>
      <c r="G19" s="1863" t="str">
        <f t="shared" si="6"/>
        <v/>
      </c>
      <c r="H19" s="1864"/>
      <c r="I19" s="1510"/>
      <c r="J19" s="1500"/>
      <c r="K19" s="1500"/>
      <c r="L19" s="1482"/>
      <c r="M19" s="1511"/>
      <c r="N19" s="1519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1520" t="str">
        <f t="shared" si="7"/>
        <v/>
      </c>
      <c r="P19" s="1520" t="str">
        <f t="shared" si="8"/>
        <v/>
      </c>
      <c r="Q19" s="1538" t="str">
        <f t="shared" si="9"/>
        <v/>
      </c>
      <c r="R19" s="1520" t="str">
        <f t="shared" si="10"/>
        <v/>
      </c>
      <c r="S19" s="1516"/>
      <c r="T19" s="1541" t="str">
        <f t="shared" si="11"/>
        <v/>
      </c>
      <c r="U19" s="1541" t="str">
        <f t="shared" si="3"/>
        <v/>
      </c>
      <c r="V19" s="1541" t="str">
        <f t="shared" si="12"/>
        <v/>
      </c>
      <c r="W19" s="1541" t="str">
        <f t="shared" si="13"/>
        <v/>
      </c>
    </row>
    <row r="20" spans="2:30" ht="21.95" hidden="1" customHeight="1">
      <c r="B20" s="223" t="str">
        <f t="shared" si="5"/>
        <v/>
      </c>
      <c r="C20" s="1516" t="str">
        <f t="shared" si="14"/>
        <v/>
      </c>
      <c r="D20" s="1610"/>
      <c r="E20" s="1611"/>
      <c r="F20" s="1518" t="str">
        <f t="shared" si="0"/>
        <v/>
      </c>
      <c r="G20" s="1863" t="str">
        <f t="shared" si="6"/>
        <v/>
      </c>
      <c r="H20" s="1864"/>
      <c r="I20" s="1510"/>
      <c r="J20" s="1500"/>
      <c r="K20" s="1500"/>
      <c r="L20" s="1482"/>
      <c r="M20" s="1511"/>
      <c r="N20" s="1519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1520" t="str">
        <f t="shared" si="7"/>
        <v/>
      </c>
      <c r="P20" s="1520" t="str">
        <f t="shared" si="8"/>
        <v/>
      </c>
      <c r="Q20" s="1538" t="str">
        <f t="shared" si="9"/>
        <v/>
      </c>
      <c r="R20" s="1520" t="str">
        <f t="shared" si="10"/>
        <v/>
      </c>
      <c r="S20" s="1516"/>
      <c r="T20" s="1541" t="str">
        <f t="shared" si="11"/>
        <v/>
      </c>
      <c r="U20" s="1541" t="str">
        <f t="shared" si="3"/>
        <v/>
      </c>
      <c r="V20" s="1541" t="str">
        <f t="shared" si="12"/>
        <v/>
      </c>
      <c r="W20" s="1541" t="str">
        <f t="shared" si="13"/>
        <v/>
      </c>
    </row>
    <row r="21" spans="2:30" customFormat="1" ht="21.95" hidden="1" customHeight="1" thickBot="1">
      <c r="B21" s="223" t="str">
        <f t="shared" si="5"/>
        <v/>
      </c>
      <c r="C21" s="1516" t="str">
        <f t="shared" si="14"/>
        <v/>
      </c>
      <c r="D21" s="1610"/>
      <c r="E21" s="1611"/>
      <c r="F21" s="1518" t="str">
        <f t="shared" si="0"/>
        <v/>
      </c>
      <c r="G21" s="1863" t="str">
        <f t="shared" si="6"/>
        <v/>
      </c>
      <c r="H21" s="1864"/>
      <c r="I21" s="1512"/>
      <c r="J21" s="1513"/>
      <c r="K21" s="1513"/>
      <c r="L21" s="1514"/>
      <c r="M21" s="1515"/>
      <c r="N21" s="1519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1520" t="str">
        <f t="shared" si="7"/>
        <v/>
      </c>
      <c r="P21" s="1520" t="str">
        <f t="shared" si="8"/>
        <v/>
      </c>
      <c r="Q21" s="1538" t="str">
        <f t="shared" si="9"/>
        <v/>
      </c>
      <c r="R21" s="1520" t="str">
        <f t="shared" si="10"/>
        <v/>
      </c>
      <c r="S21" s="1516"/>
      <c r="T21" s="1541" t="str">
        <f t="shared" si="11"/>
        <v/>
      </c>
      <c r="U21" s="1541" t="str">
        <f t="shared" si="3"/>
        <v/>
      </c>
      <c r="V21" s="1541" t="str">
        <f t="shared" si="12"/>
        <v/>
      </c>
      <c r="W21" s="1541" t="str">
        <f t="shared" si="13"/>
        <v/>
      </c>
    </row>
    <row r="22" spans="2:30" customFormat="1" ht="10.5" hidden="1" customHeight="1">
      <c r="B22" s="81"/>
      <c r="C22" s="13"/>
      <c r="D22" s="1865"/>
      <c r="E22" s="1865"/>
      <c r="F22" s="1480"/>
      <c r="G22" s="471"/>
      <c r="H22" s="204"/>
      <c r="I22" s="13"/>
      <c r="J22" s="13"/>
      <c r="K22" s="13"/>
      <c r="L22" s="1450"/>
      <c r="M22" s="1450"/>
      <c r="N22" s="1450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3"/>
      <c r="J23" s="13"/>
      <c r="K23" s="13"/>
      <c r="L23" s="1450"/>
      <c r="M23" s="1450"/>
      <c r="N23" s="1450"/>
      <c r="O23" s="13"/>
      <c r="P23" s="13"/>
      <c r="Q23" s="13"/>
      <c r="R23" s="13"/>
      <c r="S23" s="13"/>
    </row>
    <row r="24" spans="2:30" customFormat="1" ht="4.5" customHeight="1">
      <c r="B24" s="81"/>
      <c r="C24" s="13"/>
      <c r="D24" s="13"/>
      <c r="E24" s="13"/>
      <c r="F24" s="13"/>
      <c r="G24" s="13"/>
      <c r="H24" s="13"/>
      <c r="I24" s="13"/>
      <c r="J24" s="13"/>
      <c r="K24" s="13"/>
      <c r="L24" s="1450"/>
      <c r="M24" s="1450"/>
      <c r="N24" s="1450"/>
      <c r="O24" s="13"/>
      <c r="P24" s="13"/>
      <c r="Q24" s="13"/>
      <c r="R24" s="13"/>
      <c r="S24" s="13"/>
    </row>
    <row r="25" spans="2:30" customFormat="1" ht="36.75">
      <c r="B25" s="81"/>
      <c r="C25" s="1447" t="s">
        <v>2589</v>
      </c>
      <c r="D25" s="1447"/>
      <c r="E25" s="1447"/>
      <c r="F25" s="1447"/>
      <c r="G25" s="1448"/>
      <c r="H25" s="1448"/>
      <c r="I25" s="1448"/>
      <c r="J25" s="1448"/>
      <c r="K25" s="1448"/>
      <c r="L25" s="1449"/>
      <c r="M25" s="1449"/>
      <c r="N25" s="1449"/>
      <c r="O25" s="1499"/>
      <c r="P25" s="1499"/>
      <c r="Q25" s="3"/>
      <c r="R25" s="1499"/>
      <c r="S25" s="1499"/>
    </row>
    <row r="26" spans="2:30" customFormat="1" ht="23.25" customHeight="1">
      <c r="B26" s="81"/>
      <c r="C26" s="1478" t="s">
        <v>59</v>
      </c>
      <c r="D26" s="1478" t="s">
        <v>2590</v>
      </c>
      <c r="E26" s="1478" t="s">
        <v>2602</v>
      </c>
      <c r="F26" s="1478" t="s">
        <v>2603</v>
      </c>
      <c r="G26" s="1478" t="s">
        <v>258</v>
      </c>
      <c r="H26" s="1478" t="s">
        <v>889</v>
      </c>
      <c r="I26" s="1478" t="s">
        <v>75</v>
      </c>
      <c r="J26" s="1478" t="s">
        <v>1759</v>
      </c>
      <c r="K26" s="1478" t="s">
        <v>889</v>
      </c>
      <c r="L26" s="1478" t="s">
        <v>2591</v>
      </c>
      <c r="M26" s="1478" t="s">
        <v>2592</v>
      </c>
      <c r="N26" s="1478" t="s">
        <v>2593</v>
      </c>
      <c r="O26" s="1478" t="s">
        <v>60</v>
      </c>
      <c r="P26" s="1478" t="s">
        <v>2594</v>
      </c>
      <c r="Q26" s="1478" t="s">
        <v>369</v>
      </c>
      <c r="R26" s="1478" t="s">
        <v>839</v>
      </c>
      <c r="S26" s="1478" t="s">
        <v>1201</v>
      </c>
      <c r="T26" s="1484" t="s">
        <v>264</v>
      </c>
      <c r="AB26" s="204"/>
      <c r="AC26" s="204"/>
      <c r="AD26" s="204"/>
    </row>
    <row r="27" spans="2:30" customFormat="1" ht="18.75" customHeight="1">
      <c r="B27" s="81"/>
      <c r="C27" s="1479" t="s">
        <v>10</v>
      </c>
      <c r="D27" s="1479" t="s">
        <v>343</v>
      </c>
      <c r="E27" s="1479" t="s">
        <v>837</v>
      </c>
      <c r="F27" s="1479" t="s">
        <v>92</v>
      </c>
      <c r="G27" s="1479" t="s">
        <v>320</v>
      </c>
      <c r="H27" s="1479" t="s">
        <v>1727</v>
      </c>
      <c r="I27" s="1479" t="s">
        <v>405</v>
      </c>
      <c r="J27" s="1479" t="s">
        <v>2669</v>
      </c>
      <c r="K27" s="1479" t="s">
        <v>2668</v>
      </c>
      <c r="L27" s="1479" t="s">
        <v>2473</v>
      </c>
      <c r="M27" s="1479" t="s">
        <v>2474</v>
      </c>
      <c r="N27" s="1479" t="s">
        <v>1718</v>
      </c>
      <c r="O27" s="1479" t="s">
        <v>2475</v>
      </c>
      <c r="P27" s="1479" t="s">
        <v>2476</v>
      </c>
      <c r="Q27" s="1479" t="s">
        <v>2477</v>
      </c>
      <c r="R27" s="1479" t="s">
        <v>824</v>
      </c>
      <c r="S27" s="1479" t="s">
        <v>389</v>
      </c>
      <c r="T27" s="1483" t="s">
        <v>2023</v>
      </c>
      <c r="AB27" s="204"/>
      <c r="AC27" s="204"/>
      <c r="AD27" s="204"/>
    </row>
    <row r="32" spans="2:30" s="1533" customFormat="1" ht="21.95" customHeight="1">
      <c r="B32" s="1532"/>
      <c r="F32" s="1534"/>
      <c r="J32" s="1534"/>
      <c r="K32" s="1534"/>
      <c r="L32" s="1535"/>
      <c r="M32" s="1535"/>
      <c r="N32" s="1540"/>
      <c r="R32" s="1536"/>
      <c r="V32" s="1537"/>
      <c r="W32" s="1537"/>
      <c r="X32" s="1537"/>
      <c r="Y32" s="1537"/>
      <c r="Z32" s="1537"/>
      <c r="AA32" s="1537"/>
    </row>
    <row r="33" spans="2:27" s="1533" customFormat="1" ht="21.75" customHeight="1">
      <c r="B33" s="1532"/>
      <c r="F33" s="1534"/>
      <c r="J33" s="1534"/>
      <c r="K33" s="1534"/>
      <c r="L33" s="1535"/>
      <c r="M33" s="1535"/>
      <c r="N33" s="1540"/>
      <c r="R33" s="1536"/>
      <c r="V33" s="1537"/>
      <c r="W33" s="1537"/>
      <c r="X33" s="1537"/>
      <c r="Y33" s="1537"/>
      <c r="Z33" s="1537"/>
      <c r="AA33" s="1537"/>
    </row>
    <row r="34" spans="2:27" s="1533" customFormat="1" ht="21.95" customHeight="1">
      <c r="B34" s="1532"/>
      <c r="F34" s="1534"/>
      <c r="J34" s="1534"/>
      <c r="K34" s="1534"/>
      <c r="L34" s="1535"/>
      <c r="M34" s="1535"/>
      <c r="N34" s="1540"/>
      <c r="R34" s="1536"/>
      <c r="V34" s="1537"/>
      <c r="W34" s="1537"/>
      <c r="X34" s="1537"/>
      <c r="Y34" s="1537"/>
      <c r="Z34" s="1537"/>
      <c r="AA34" s="1537"/>
    </row>
    <row r="35" spans="2:27" s="1533" customFormat="1" ht="21.95" customHeight="1">
      <c r="B35" s="1532"/>
      <c r="F35" s="1534"/>
      <c r="J35" s="1534"/>
      <c r="K35" s="1534"/>
      <c r="L35" s="1535"/>
      <c r="M35" s="1535"/>
      <c r="N35" s="1540"/>
      <c r="R35" s="1536"/>
      <c r="V35" s="1537"/>
      <c r="W35" s="1537"/>
      <c r="X35" s="1537"/>
      <c r="Y35" s="1537"/>
      <c r="Z35" s="1537"/>
      <c r="AA35" s="1537"/>
    </row>
    <row r="36" spans="2:27" s="1533" customFormat="1" ht="21.95" customHeight="1">
      <c r="B36" s="1532"/>
      <c r="F36" s="1534"/>
      <c r="J36" s="1534"/>
      <c r="K36" s="1534"/>
      <c r="L36" s="1535"/>
      <c r="M36" s="1535"/>
      <c r="N36" s="1540"/>
      <c r="R36" s="1536"/>
      <c r="V36" s="1537"/>
      <c r="W36" s="1537"/>
      <c r="X36" s="1537"/>
      <c r="Y36" s="1537"/>
      <c r="Z36" s="1537"/>
      <c r="AA36" s="1537"/>
    </row>
    <row r="37" spans="2:27" s="1533" customFormat="1" ht="21.95" customHeight="1">
      <c r="B37" s="1532"/>
      <c r="F37" s="1534"/>
      <c r="J37" s="1534"/>
      <c r="K37" s="1534"/>
      <c r="L37" s="1535"/>
      <c r="M37" s="1535"/>
      <c r="N37" s="1540"/>
      <c r="R37" s="1536"/>
      <c r="V37" s="1537"/>
      <c r="W37" s="1537"/>
      <c r="X37" s="1537"/>
      <c r="Y37" s="1537"/>
      <c r="Z37" s="1537"/>
      <c r="AA37" s="1537"/>
    </row>
  </sheetData>
  <mergeCells count="29">
    <mergeCell ref="E4:G4"/>
    <mergeCell ref="D10:E10"/>
    <mergeCell ref="D11:E11"/>
    <mergeCell ref="D12:E12"/>
    <mergeCell ref="D13:E13"/>
    <mergeCell ref="G10:H10"/>
    <mergeCell ref="G11:H11"/>
    <mergeCell ref="G12:H12"/>
    <mergeCell ref="G13:H13"/>
    <mergeCell ref="C6:D6"/>
    <mergeCell ref="E6:G6"/>
    <mergeCell ref="C4:D4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9:H19"/>
    <mergeCell ref="G20:H20"/>
    <mergeCell ref="G21:H21"/>
    <mergeCell ref="G14:H14"/>
    <mergeCell ref="G15:H15"/>
    <mergeCell ref="G16:H16"/>
    <mergeCell ref="G17:H17"/>
    <mergeCell ref="G18:H18"/>
  </mergeCells>
  <phoneticPr fontId="37" type="noConversion"/>
  <dataValidations count="5">
    <dataValidation type="list" allowBlank="1" showInputMessage="1" showErrorMessage="1" sqref="E4" xr:uid="{822655BD-A082-4595-B57A-F471BDAA9EBE}">
      <formula1>product_name_option</formula1>
    </dataValidation>
    <dataValidation type="list" allowBlank="1" showInputMessage="1" showErrorMessage="1" sqref="E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O21" xr:uid="{D3036E82-9228-4123-A0DA-ADF7920688DA}">
      <formula1>0</formula1>
    </dataValidation>
    <dataValidation type="list" allowBlank="1" showInputMessage="1" showErrorMessage="1" sqref="S10:S21" xr:uid="{EBB9776E-7EBD-4899-9CDC-A1EF883342AC}">
      <formula1>$J$6:$L$6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9938" r:id="rId4" name="Button 2">
              <controlPr defaultSize="0" print="0" autoFill="0" autoPict="0" macro="[0]!goToHome" altText="ទំព័រដើម">
                <anchor moveWithCells="1" sizeWithCells="1">
                  <from>
                    <xdr:col>12</xdr:col>
                    <xdr:colOff>314325</xdr:colOff>
                    <xdr:row>3</xdr:row>
                    <xdr:rowOff>371475</xdr:rowOff>
                  </from>
                  <to>
                    <xdr:col>13</xdr:col>
                    <xdr:colOff>352425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941" r:id="rId5" name="Button 5">
              <controlPr defaultSize="0" autoFill="0" autoPict="0" macro="[0]!AddProductPriceByUom">
                <anchor moveWithCells="1">
                  <from>
                    <xdr:col>13</xdr:col>
                    <xdr:colOff>619125</xdr:colOff>
                    <xdr:row>3</xdr:row>
                    <xdr:rowOff>352425</xdr:rowOff>
                  </from>
                  <to>
                    <xdr:col>14</xdr:col>
                    <xdr:colOff>1162050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951" r:id="rId6" name="Button 15">
              <controlPr defaultSize="0" print="0" autoFill="0" autoPict="0" macro="[0]!goProductPriceHistory">
                <anchor moveWithCells="1" sizeWithCells="1">
                  <from>
                    <xdr:col>14</xdr:col>
                    <xdr:colOff>1400175</xdr:colOff>
                    <xdr:row>3</xdr:row>
                    <xdr:rowOff>323850</xdr:rowOff>
                  </from>
                  <to>
                    <xdr:col>16</xdr:col>
                    <xdr:colOff>904875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DC146D0-807C-44AA-9A06-51FA38B5E60F}">
  <ds:schemaRefs/>
</ds:datastoreItem>
</file>

<file path=customXml/itemProps3.xml><?xml version="1.0" encoding="utf-8"?>
<ds:datastoreItem xmlns:ds="http://schemas.openxmlformats.org/officeDocument/2006/customXml" ds:itemID="{E27BC1BA-2931-412A-BFCF-F6C2AD0824D0}">
  <ds:schemaRefs/>
</ds:datastoreItem>
</file>

<file path=customXml/itemProps4.xml><?xml version="1.0" encoding="utf-8"?>
<ds:datastoreItem xmlns:ds="http://schemas.openxmlformats.org/officeDocument/2006/customXml" ds:itemID="{63AAF10D-7B32-4C1D-A7E1-FA34FE2DB930}">
  <ds:schemaRefs/>
</ds:datastoreItem>
</file>

<file path=customXml/itemProps5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430</vt:i4>
      </vt:variant>
    </vt:vector>
  </HeadingPairs>
  <TitlesOfParts>
    <vt:vector size="493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ChartAccountType</vt:lpstr>
      <vt:lpstr>ChartAccountGroup</vt:lpstr>
      <vt:lpstr>ChartAccount</vt:lpstr>
      <vt:lpstr>ChartAccountDefault</vt:lpstr>
      <vt:lpstr>ModuleGroup</vt:lpstr>
      <vt:lpstr>ModuleType</vt:lpstr>
      <vt:lpstr>Lang</vt:lpstr>
      <vt:lpstr>SaleInvoiceData</vt:lpstr>
      <vt:lpstr>SalesByItemData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ReportInventoryActivitySummary</vt:lpstr>
      <vt:lpstr>InventoryAdj</vt:lpstr>
      <vt:lpstr>Cgroup</vt:lpstr>
      <vt:lpstr>PrintInvoice</vt:lpstr>
      <vt:lpstr>AddPurchaseBill</vt:lpstr>
      <vt:lpstr>AddInvoice</vt:lpstr>
      <vt:lpstr>AddQuotation</vt:lpstr>
      <vt:lpstr>QuoteData</vt:lpstr>
      <vt:lpstr>QuoteDetailData</vt:lpstr>
      <vt:lpstr>QuoteServiceData</vt:lpstr>
      <vt:lpstr>ShipTo</vt:lpstr>
      <vt:lpstr>OtherExpense</vt:lpstr>
      <vt:lpstr>CustomerList</vt:lpstr>
      <vt:lpstr>OtherIncome</vt:lpstr>
      <vt:lpstr>AddReceivePayment</vt:lpstr>
      <vt:lpstr>ReportFinancialDetail</vt:lpstr>
      <vt:lpstr>Seller</vt:lpstr>
      <vt:lpstr>VendorContact</vt:lpstr>
      <vt:lpstr>VendorList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GroupMember</vt:lpstr>
      <vt:lpstr>MemberList</vt:lpstr>
      <vt:lpstr>(1 )</vt:lpstr>
      <vt:lpstr>( 3)</vt:lpstr>
      <vt:lpstr>NBC_Exchange_Rate</vt:lpstr>
      <vt:lpstr>ProductList</vt:lpstr>
      <vt:lpstr>ProductCostHistory</vt:lpstr>
      <vt:lpstr>ProductPriceHistory</vt:lpstr>
      <vt:lpstr>ProductPrice</vt:lpstr>
      <vt:lpstr>adj_branch</vt:lpstr>
      <vt:lpstr>adj_chart_account_id</vt:lpstr>
      <vt:lpstr>adj_code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AddReceivePayment!c_invoice_date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c_rp_amount_en_paid</vt:lpstr>
      <vt:lpstr>OtherExpense!c_rp_amount_kh_paid</vt:lpstr>
      <vt:lpstr>c_rp_amount_kh_paid</vt:lpstr>
      <vt:lpstr>OtherExpense!c_rp_current_date</vt:lpstr>
      <vt:lpstr>c_rp_current_date</vt:lpstr>
      <vt:lpstr>c_rp_customer_code</vt:lpstr>
      <vt:lpstr>c_rp_customer_id</vt:lpstr>
      <vt:lpstr>OtherExpense!c_rp_description</vt:lpstr>
      <vt:lpstr>c_rp_description</vt:lpstr>
      <vt:lpstr>c_rp_discount</vt:lpstr>
      <vt:lpstr>OtherExpense!c_rp_exchange_rate</vt:lpstr>
      <vt:lpstr>c_rp_exchange_rate</vt:lpstr>
      <vt:lpstr>OtherExpense!c_rp_invoice_no</vt:lpstr>
      <vt:lpstr>c_rp_invoice_no</vt:lpstr>
      <vt:lpstr>OtherExpense!c_rp_module_types_option</vt:lpstr>
      <vt:lpstr>c_rp_module_types_option</vt:lpstr>
      <vt:lpstr>OtherExpense!c_rp_receipt_no</vt:lpstr>
      <vt:lpstr>c_rp_receipt_no</vt:lpstr>
      <vt:lpstr>OtherExpense!c_rp_status</vt:lpstr>
      <vt:lpstr>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group_member_option</vt:lpstr>
      <vt:lpstr>AddReceivePayment!group_member_option_select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invoice_code_option</vt:lpstr>
      <vt:lpstr>AddInvoice!invoice_column_product</vt:lpstr>
      <vt:lpstr>AddInvoice!invoice_column_qty_free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invoice_detail_list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invoice_list</vt:lpstr>
      <vt:lpstr>invoice_list2</vt:lpstr>
      <vt:lpstr>invoice_location</vt:lpstr>
      <vt:lpstr>invoice_location_group_id</vt:lpstr>
      <vt:lpstr>invoice_location_id</vt:lpstr>
      <vt:lpstr>invoice_no</vt:lpstr>
      <vt:lpstr>AddReceivePayment!invoice_note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location_group_list</vt:lpstr>
      <vt:lpstr>location_group_option</vt:lpstr>
      <vt:lpstr>location_option</vt:lpstr>
      <vt:lpstr>member_list</vt:lpstr>
      <vt:lpstr>member_option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AddPurchaseBill!pb_column_product</vt:lpstr>
      <vt:lpstr>AddPurchaseBill!pb_column_qty_free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'( 3)'!Print_Area</vt:lpstr>
      <vt:lpstr>'(1 )'!Print_Area</vt:lpstr>
      <vt:lpstr>AddPurchaseBill!Print_Area</vt:lpstr>
      <vt:lpstr>AddQuotation!Print_Area</vt:lpstr>
      <vt:lpstr>AddReceivePayment!Print_Area</vt:lpstr>
      <vt:lpstr>Branch!Print_Area</vt:lpstr>
      <vt:lpstr>CountStock!Print_Area</vt:lpstr>
      <vt:lpstr>CustomerList!Print_Area</vt:lpstr>
      <vt:lpstr>Home!Print_Area</vt:lpstr>
      <vt:lpstr>inventories!Print_Area</vt:lpstr>
      <vt:lpstr>MemberList!Print_Area</vt:lpstr>
      <vt:lpstr>OtherExpense!Print_Area</vt:lpstr>
      <vt:lpstr>PrintInvoice!Print_Area</vt:lpstr>
      <vt:lpstr>ProductList!Print_Area</vt:lpstr>
      <vt:lpstr>ProductPrice!Print_Area</vt:lpstr>
      <vt:lpstr>ReportFinancialDetail!Print_Area</vt:lpstr>
      <vt:lpstr>ReportInventoryActivitySummary!Print_Area</vt:lpstr>
      <vt:lpstr>SaleInvoiceData!Print_Area</vt:lpstr>
      <vt:lpstr>Seller!Print_Area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AddInvoice!Print_Titles</vt:lpstr>
      <vt:lpstr>AddPurchaseBill!Print_Titles</vt:lpstr>
      <vt:lpstr>AddQuotation!Print_Titles</vt:lpstr>
      <vt:lpstr>MemberList!Print_Titles</vt:lpstr>
      <vt:lpstr>PrintInvoice!Print_Titles</vt:lpstr>
      <vt:lpstr>ProductPrice!Print_Titles</vt:lpstr>
      <vt:lpstr>SaleInvoiceData!Print_Titles</vt:lpstr>
      <vt:lpstr>product_barcode_list</vt:lpstr>
      <vt:lpstr>product_list</vt:lpstr>
      <vt:lpstr>product_list_second</vt:lpstr>
      <vt:lpstr>product_name_option</vt:lpstr>
      <vt:lpstr>product_name_th</vt:lpstr>
      <vt:lpstr>product_price_branch_id</vt:lpstr>
      <vt:lpstr>product_price_input_by_uom_list</vt:lpstr>
      <vt:lpstr>product_price_list</vt:lpstr>
      <vt:lpstr>product_price_name</vt:lpstr>
      <vt:lpstr>product_price_pid</vt:lpstr>
      <vt:lpstr>product_price_uom_id</vt:lpstr>
      <vt:lpstr>qr_code_invoice</vt:lpstr>
      <vt:lpstr>AddReceivePayment!qty_invoice</vt:lpstr>
      <vt:lpstr>CountStock!qty_invoice</vt:lpstr>
      <vt:lpstr>OtherExpense!qty_invoice</vt:lpstr>
      <vt:lpstr>quote_branch</vt:lpstr>
      <vt:lpstr>quote_code</vt:lpstr>
      <vt:lpstr>quote_column_product</vt:lpstr>
      <vt:lpstr>quote_column_qty_free</vt:lpstr>
      <vt:lpstr>quote_copy_print_letter_head</vt:lpstr>
      <vt:lpstr>quote_copy_print_no_letter_head</vt:lpstr>
      <vt:lpstr>quote_creator</vt:lpstr>
      <vt:lpstr>quote_currency_id</vt:lpstr>
      <vt:lpstr>quote_currency_symbol</vt:lpstr>
      <vt:lpstr>quote_customer</vt:lpstr>
      <vt:lpstr>quote_date</vt:lpstr>
      <vt:lpstr>quote_dis_amount</vt:lpstr>
      <vt:lpstr>quote_dis_option</vt:lpstr>
      <vt:lpstr>quote_dis_percent</vt:lpstr>
      <vt:lpstr>quote_discount</vt:lpstr>
      <vt:lpstr>quote_discount_by_item</vt:lpstr>
      <vt:lpstr>quote_letter_head_qrcode</vt:lpstr>
      <vt:lpstr>quote_list</vt:lpstr>
      <vt:lpstr>quote_no</vt:lpstr>
      <vt:lpstr>quote_no_letter_head_qrcode</vt:lpstr>
      <vt:lpstr>quote_note</vt:lpstr>
      <vt:lpstr>quote_price_type</vt:lpstr>
      <vt:lpstr>quote_price_type_id</vt:lpstr>
      <vt:lpstr>quote_print_letter_head</vt:lpstr>
      <vt:lpstr>quote_print_no_letter_head</vt:lpstr>
      <vt:lpstr>quote_qty</vt:lpstr>
      <vt:lpstr>quote_qty_free</vt:lpstr>
      <vt:lpstr>quote_search_product</vt:lpstr>
      <vt:lpstr>quote_service_type</vt:lpstr>
      <vt:lpstr>quote_ship_telephone</vt:lpstr>
      <vt:lpstr>quote_ship_to</vt:lpstr>
      <vt:lpstr>quote_sub_total_amount</vt:lpstr>
      <vt:lpstr>quote_total_amount</vt:lpstr>
      <vt:lpstr>AddInvoice!quote_total_dis_item_free</vt:lpstr>
      <vt:lpstr>quote_total_dis_item_free</vt:lpstr>
      <vt:lpstr>quote_total_price_bf_discount</vt:lpstr>
      <vt:lpstr>quote_total_vat</vt:lpstr>
      <vt:lpstr>quote_vat</vt:lpstr>
      <vt:lpstr>quote_vat_cal_id</vt:lpstr>
      <vt:lpstr>quote_vat_percent</vt:lpstr>
      <vt:lpstr>quote_week</vt:lpstr>
      <vt:lpstr>'( 3)'!Reference_Area</vt:lpstr>
      <vt:lpstr>rp_amount_due</vt:lpstr>
      <vt:lpstr>rp_amount_paid_befor</vt:lpstr>
      <vt:lpstr>rp_amount_paid_over</vt:lpstr>
      <vt:lpstr>rp_customer_name</vt:lpstr>
      <vt:lpstr>rp_expense_type</vt:lpstr>
      <vt:lpstr>rp_income_id</vt:lpstr>
      <vt:lpstr>rp_invoice_date</vt:lpstr>
      <vt:lpstr>rp_invoice_sheet_no</vt:lpstr>
      <vt:lpstr>rp_last_discount</vt:lpstr>
      <vt:lpstr>OtherExpense!rp_option_income_from</vt:lpstr>
      <vt:lpstr>rp_option_income_from</vt:lpstr>
      <vt:lpstr>OtherExpense!rp_option_income_type</vt:lpstr>
      <vt:lpstr>rp_option_income_type</vt:lpstr>
      <vt:lpstr>rp_receipt_code</vt:lpstr>
      <vt:lpstr>rp_recipient_id</vt:lpstr>
      <vt:lpstr>rp_recipient_option</vt:lpstr>
      <vt:lpstr>rp_status_note</vt:lpstr>
      <vt:lpstr>rp_total_amount_paid</vt:lpstr>
      <vt:lpstr>rp_total_balance</vt:lpstr>
      <vt:lpstr>rp_total_balance_unpaid</vt:lpstr>
      <vt:lpstr>rp_week</vt:lpstr>
      <vt:lpstr>sale_invoice_data_list</vt:lpstr>
      <vt:lpstr>sales_by_item_data_list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2026-06-10T00:32:36Z</cp:lastPrinted>
  <dcterms:created xsi:type="dcterms:W3CDTF">2019-10-05T07:51:15Z</dcterms:created>
  <dcterms:modified xsi:type="dcterms:W3CDTF">2026-06-12T00:48:18Z</dcterms:modified>
  <cp:category/>
  <cp:contentStatus/>
</cp:coreProperties>
</file>